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35" yWindow="0" windowWidth="12240" windowHeight="9030"/>
  </bookViews>
  <sheets>
    <sheet name="CALC-IGT-STD.XLS" sheetId="1" r:id="rId1"/>
    <sheet name="CARI Calcs" sheetId="2" r:id="rId2"/>
  </sheets>
  <definedNames>
    <definedName name="\C">'CALC-IGT-STD.XLS'!$L$11</definedName>
    <definedName name="\P">'CALC-IGT-STD.XLS'!$L$13</definedName>
    <definedName name="\Q">'CALC-IGT-STD.XLS'!$L$15</definedName>
    <definedName name="_xlnm.Print_Area" localSheetId="0">'CALC-IGT-STD.XLS'!$B$4:$I$34</definedName>
    <definedName name="_xlnm.Print_Area">'CALC-IGT-STD.XLS'!$B$1:$I$37</definedName>
    <definedName name="PRINT_AREA_MI">'CALC-IGT-STD.XLS'!$B$1:$I$34</definedName>
  </definedNames>
  <calcPr calcId="145621"/>
</workbook>
</file>

<file path=xl/calcChain.xml><?xml version="1.0" encoding="utf-8"?>
<calcChain xmlns="http://schemas.openxmlformats.org/spreadsheetml/2006/main">
  <c r="K52" i="1" l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O52" i="1"/>
  <c r="O55" i="1"/>
  <c r="O56" i="1"/>
  <c r="P56" i="1" s="1"/>
  <c r="T56" i="1" s="1"/>
  <c r="O57" i="1"/>
  <c r="R57" i="1" s="1"/>
  <c r="T57" i="1" s="1"/>
  <c r="O59" i="1"/>
  <c r="O60" i="1"/>
  <c r="P60" i="1" s="1"/>
  <c r="O61" i="1"/>
  <c r="R61" i="1" s="1"/>
  <c r="T61" i="1" s="1"/>
  <c r="O63" i="1"/>
  <c r="O64" i="1"/>
  <c r="P64" i="1" s="1"/>
  <c r="T64" i="1" s="1"/>
  <c r="O65" i="1"/>
  <c r="R65" i="1" s="1"/>
  <c r="T65" i="1" s="1"/>
  <c r="O67" i="1"/>
  <c r="O68" i="1"/>
  <c r="P68" i="1" s="1"/>
  <c r="O69" i="1"/>
  <c r="R69" i="1" s="1"/>
  <c r="T69" i="1" s="1"/>
  <c r="O71" i="1"/>
  <c r="O72" i="1"/>
  <c r="P72" i="1" s="1"/>
  <c r="T72" i="1" s="1"/>
  <c r="O73" i="1"/>
  <c r="R73" i="1" s="1"/>
  <c r="T73" i="1" s="1"/>
  <c r="O75" i="1"/>
  <c r="O76" i="1"/>
  <c r="P76" i="1" s="1"/>
  <c r="O77" i="1"/>
  <c r="R77" i="1" s="1"/>
  <c r="T77" i="1" s="1"/>
  <c r="N52" i="1"/>
  <c r="N54" i="1"/>
  <c r="N55" i="1"/>
  <c r="R55" i="1" s="1"/>
  <c r="T55" i="1" s="1"/>
  <c r="N56" i="1"/>
  <c r="N57" i="1"/>
  <c r="N58" i="1"/>
  <c r="N59" i="1"/>
  <c r="R59" i="1" s="1"/>
  <c r="T59" i="1" s="1"/>
  <c r="N60" i="1"/>
  <c r="R60" i="1" s="1"/>
  <c r="N61" i="1"/>
  <c r="N62" i="1"/>
  <c r="N63" i="1"/>
  <c r="R63" i="1" s="1"/>
  <c r="T63" i="1" s="1"/>
  <c r="N64" i="1"/>
  <c r="N65" i="1"/>
  <c r="N66" i="1"/>
  <c r="N67" i="1"/>
  <c r="R67" i="1" s="1"/>
  <c r="T67" i="1" s="1"/>
  <c r="N68" i="1"/>
  <c r="N69" i="1"/>
  <c r="N70" i="1"/>
  <c r="N71" i="1"/>
  <c r="R71" i="1" s="1"/>
  <c r="T71" i="1" s="1"/>
  <c r="N72" i="1"/>
  <c r="N73" i="1"/>
  <c r="N74" i="1"/>
  <c r="N75" i="1"/>
  <c r="R75" i="1" s="1"/>
  <c r="T75" i="1" s="1"/>
  <c r="N76" i="1"/>
  <c r="N77" i="1"/>
  <c r="M67" i="1"/>
  <c r="M74" i="1"/>
  <c r="M63" i="1"/>
  <c r="M71" i="1"/>
  <c r="M57" i="1"/>
  <c r="M52" i="1"/>
  <c r="M53" i="1"/>
  <c r="M54" i="1"/>
  <c r="M55" i="1"/>
  <c r="M56" i="1"/>
  <c r="Q56" i="1" s="1"/>
  <c r="S56" i="1" s="1"/>
  <c r="M58" i="1"/>
  <c r="M59" i="1"/>
  <c r="M60" i="1"/>
  <c r="M61" i="1"/>
  <c r="M62" i="1"/>
  <c r="M64" i="1"/>
  <c r="Q64" i="1" s="1"/>
  <c r="S64" i="1" s="1"/>
  <c r="M65" i="1"/>
  <c r="M66" i="1"/>
  <c r="M68" i="1"/>
  <c r="M69" i="1"/>
  <c r="M70" i="1"/>
  <c r="M72" i="1"/>
  <c r="Q72" i="1" s="1"/>
  <c r="S72" i="1" s="1"/>
  <c r="M73" i="1"/>
  <c r="M75" i="1"/>
  <c r="M76" i="1"/>
  <c r="M77" i="1"/>
  <c r="W67" i="1"/>
  <c r="W74" i="1"/>
  <c r="W63" i="1"/>
  <c r="W71" i="1"/>
  <c r="W57" i="1"/>
  <c r="W52" i="1"/>
  <c r="W54" i="1"/>
  <c r="W55" i="1"/>
  <c r="W56" i="1"/>
  <c r="W58" i="1"/>
  <c r="W59" i="1"/>
  <c r="W60" i="1"/>
  <c r="W61" i="1"/>
  <c r="W62" i="1"/>
  <c r="W64" i="1"/>
  <c r="W65" i="1"/>
  <c r="W66" i="1"/>
  <c r="W68" i="1"/>
  <c r="W69" i="1"/>
  <c r="W70" i="1"/>
  <c r="W72" i="1"/>
  <c r="W73" i="1"/>
  <c r="W75" i="1"/>
  <c r="W76" i="1"/>
  <c r="W77" i="1"/>
  <c r="P77" i="1"/>
  <c r="Q77" i="1"/>
  <c r="S77" i="1" s="1"/>
  <c r="R76" i="1"/>
  <c r="Q76" i="1"/>
  <c r="P75" i="1"/>
  <c r="Q75" i="1"/>
  <c r="S75" i="1" s="1"/>
  <c r="P73" i="1"/>
  <c r="Q73" i="1"/>
  <c r="S73" i="1" s="1"/>
  <c r="R72" i="1"/>
  <c r="P71" i="1"/>
  <c r="Q71" i="1"/>
  <c r="S71" i="1" s="1"/>
  <c r="P69" i="1"/>
  <c r="Q69" i="1"/>
  <c r="S69" i="1" s="1"/>
  <c r="R68" i="1"/>
  <c r="Q68" i="1"/>
  <c r="P67" i="1"/>
  <c r="Q67" i="1"/>
  <c r="S67" i="1" s="1"/>
  <c r="P65" i="1"/>
  <c r="Q65" i="1"/>
  <c r="S65" i="1" s="1"/>
  <c r="R64" i="1"/>
  <c r="P63" i="1"/>
  <c r="Q63" i="1"/>
  <c r="S63" i="1" s="1"/>
  <c r="P61" i="1"/>
  <c r="Q61" i="1"/>
  <c r="S61" i="1" s="1"/>
  <c r="Q60" i="1"/>
  <c r="P59" i="1"/>
  <c r="Q59" i="1"/>
  <c r="S59" i="1" s="1"/>
  <c r="P57" i="1"/>
  <c r="Q57" i="1"/>
  <c r="S57" i="1" s="1"/>
  <c r="R56" i="1"/>
  <c r="P55" i="1"/>
  <c r="Q55" i="1"/>
  <c r="S55" i="1" s="1"/>
  <c r="R52" i="1"/>
  <c r="D34" i="1"/>
  <c r="I4" i="1"/>
  <c r="D9" i="2"/>
  <c r="M24" i="2"/>
  <c r="Q24" i="2" s="1"/>
  <c r="E9" i="2"/>
  <c r="E10" i="2"/>
  <c r="B10" i="2"/>
  <c r="E11" i="2"/>
  <c r="B11" i="2"/>
  <c r="D12" i="2"/>
  <c r="E12" i="2"/>
  <c r="D13" i="2"/>
  <c r="E13" i="2"/>
  <c r="E14" i="2"/>
  <c r="B14" i="2"/>
  <c r="E15" i="2"/>
  <c r="B15" i="2"/>
  <c r="D16" i="2"/>
  <c r="E16" i="2"/>
  <c r="D17" i="2"/>
  <c r="E17" i="2"/>
  <c r="E18" i="2"/>
  <c r="B18" i="2"/>
  <c r="D19" i="2"/>
  <c r="E19" i="2"/>
  <c r="E20" i="2"/>
  <c r="B20" i="2"/>
  <c r="E21" i="2"/>
  <c r="B21" i="2"/>
  <c r="D22" i="2"/>
  <c r="E22" i="2"/>
  <c r="D23" i="2"/>
  <c r="E23" i="2"/>
  <c r="D24" i="2"/>
  <c r="E24" i="2"/>
  <c r="D25" i="2"/>
  <c r="E25" i="2"/>
  <c r="D26" i="2"/>
  <c r="E26" i="2"/>
  <c r="D27" i="2"/>
  <c r="E27" i="2"/>
  <c r="E28" i="2"/>
  <c r="B28" i="2"/>
  <c r="E29" i="2"/>
  <c r="B29" i="2"/>
  <c r="D30" i="2"/>
  <c r="E30" i="2"/>
  <c r="D31" i="2"/>
  <c r="C31" i="2"/>
  <c r="E31" i="2"/>
  <c r="B31" i="2"/>
  <c r="D32" i="2"/>
  <c r="C32" i="2"/>
  <c r="E32" i="2"/>
  <c r="B32" i="2"/>
  <c r="D33" i="2"/>
  <c r="C33" i="2"/>
  <c r="E33" i="2"/>
  <c r="B33" i="2"/>
  <c r="E34" i="2"/>
  <c r="B34" i="2"/>
  <c r="P17" i="2"/>
  <c r="W17" i="2"/>
  <c r="I43" i="1" l="1"/>
  <c r="W53" i="1"/>
  <c r="N53" i="1"/>
  <c r="K43" i="1" s="1"/>
  <c r="O53" i="1"/>
  <c r="G27" i="1"/>
  <c r="C23" i="2"/>
  <c r="B23" i="2" s="1"/>
  <c r="C25" i="2"/>
  <c r="B25" i="2" s="1"/>
  <c r="C27" i="2"/>
  <c r="B27" i="2" s="1"/>
  <c r="C30" i="2"/>
  <c r="B30" i="2" s="1"/>
  <c r="C19" i="2"/>
  <c r="B19" i="2" s="1"/>
  <c r="C22" i="2"/>
  <c r="B22" i="2" s="1"/>
  <c r="C24" i="2"/>
  <c r="B24" i="2" s="1"/>
  <c r="C26" i="2"/>
  <c r="B26" i="2" s="1"/>
  <c r="C9" i="2"/>
  <c r="B9" i="2" s="1"/>
  <c r="C12" i="2"/>
  <c r="B12" i="2" s="1"/>
  <c r="C13" i="2"/>
  <c r="B13" i="2" s="1"/>
  <c r="C16" i="2"/>
  <c r="B16" i="2" s="1"/>
  <c r="C17" i="2"/>
  <c r="B17" i="2" s="1"/>
  <c r="Q54" i="1"/>
  <c r="S68" i="1"/>
  <c r="T68" i="1"/>
  <c r="S76" i="1"/>
  <c r="T76" i="1"/>
  <c r="T60" i="1"/>
  <c r="S60" i="1"/>
  <c r="G43" i="1"/>
  <c r="P52" i="1"/>
  <c r="T52" i="1" s="1"/>
  <c r="O74" i="1"/>
  <c r="O70" i="1"/>
  <c r="O66" i="1"/>
  <c r="Q66" i="1" s="1"/>
  <c r="O62" i="1"/>
  <c r="O58" i="1"/>
  <c r="O54" i="1"/>
  <c r="Q52" i="1"/>
  <c r="S52" i="1" s="1"/>
  <c r="R53" i="1" l="1"/>
  <c r="P53" i="1"/>
  <c r="Q53" i="1"/>
  <c r="S53" i="1" s="1"/>
  <c r="S66" i="1"/>
  <c r="G9" i="1"/>
  <c r="P54" i="1"/>
  <c r="S54" i="1" s="1"/>
  <c r="R54" i="1"/>
  <c r="B35" i="2"/>
  <c r="R58" i="1"/>
  <c r="P58" i="1"/>
  <c r="R74" i="1"/>
  <c r="P74" i="1"/>
  <c r="Q58" i="1"/>
  <c r="Q74" i="1"/>
  <c r="P62" i="1"/>
  <c r="R62" i="1"/>
  <c r="T62" i="1" s="1"/>
  <c r="M43" i="1"/>
  <c r="G10" i="1" s="1"/>
  <c r="G8" i="1" s="1"/>
  <c r="Q62" i="1"/>
  <c r="R66" i="1"/>
  <c r="T66" i="1" s="1"/>
  <c r="P66" i="1"/>
  <c r="P70" i="1"/>
  <c r="Q70" i="1"/>
  <c r="S70" i="1" s="1"/>
  <c r="R70" i="1"/>
  <c r="T70" i="1" s="1"/>
  <c r="B36" i="2" l="1"/>
  <c r="G7" i="1" s="1"/>
  <c r="N43" i="1"/>
  <c r="T53" i="1"/>
  <c r="T74" i="1"/>
  <c r="S62" i="1"/>
  <c r="S74" i="1"/>
  <c r="G14" i="1"/>
  <c r="G13" i="1"/>
  <c r="Q43" i="1"/>
  <c r="O43" i="1"/>
  <c r="S58" i="1"/>
  <c r="T58" i="1"/>
  <c r="T54" i="1"/>
  <c r="G15" i="1" l="1"/>
  <c r="I13" i="1"/>
  <c r="G30" i="1"/>
  <c r="H13" i="1"/>
  <c r="G19" i="1"/>
  <c r="H24" i="1"/>
  <c r="G16" i="1"/>
  <c r="G20" i="1"/>
  <c r="I14" i="1"/>
  <c r="H14" i="1"/>
  <c r="H16" i="1" l="1"/>
  <c r="G22" i="1"/>
  <c r="I16" i="1"/>
  <c r="I19" i="1"/>
  <c r="H19" i="1"/>
  <c r="I15" i="1"/>
  <c r="H15" i="1"/>
  <c r="G21" i="1"/>
  <c r="I20" i="1"/>
  <c r="H20" i="1"/>
  <c r="I22" i="1" l="1"/>
  <c r="H22" i="1"/>
  <c r="I21" i="1"/>
  <c r="H21" i="1"/>
</calcChain>
</file>

<file path=xl/sharedStrings.xml><?xml version="1.0" encoding="utf-8"?>
<sst xmlns="http://schemas.openxmlformats.org/spreadsheetml/2006/main" count="309" uniqueCount="154">
  <si>
    <t>COMPRESSIBILITY</t>
  </si>
  <si>
    <t>COMPOUND NAME</t>
  </si>
  <si>
    <t>FORMULA</t>
  </si>
  <si>
    <t>% VOL</t>
  </si>
  <si>
    <t>MOLE</t>
  </si>
  <si>
    <t>MOLECULAR</t>
  </si>
  <si>
    <t>FRACTION</t>
  </si>
  <si>
    <t>WEIGHT</t>
  </si>
  <si>
    <t>ACETYLENE</t>
  </si>
  <si>
    <t>C2H2</t>
  </si>
  <si>
    <t>AIR</t>
  </si>
  <si>
    <t>ARGON</t>
  </si>
  <si>
    <t>AR</t>
  </si>
  <si>
    <t>BENZENE</t>
  </si>
  <si>
    <t>C6H6</t>
  </si>
  <si>
    <t>CALORIFIC VALUE:</t>
  </si>
  <si>
    <t xml:space="preserve"> KCAL/NM3</t>
  </si>
  <si>
    <t>BUTYLENE</t>
  </si>
  <si>
    <t>C4H8</t>
  </si>
  <si>
    <t>/CK13~C10.C35~</t>
  </si>
  <si>
    <t>CARBON DIOXIDE</t>
  </si>
  <si>
    <t>CO2</t>
  </si>
  <si>
    <t>CARBON MONOXIDE</t>
  </si>
  <si>
    <t>CO</t>
  </si>
  <si>
    <t>/PPAGQ</t>
  </si>
  <si>
    <t>ETHANE</t>
  </si>
  <si>
    <t>C2H6</t>
  </si>
  <si>
    <t>ETHYLENE</t>
  </si>
  <si>
    <t>C2H4</t>
  </si>
  <si>
    <t>/QY</t>
  </si>
  <si>
    <t>HELIUM</t>
  </si>
  <si>
    <t>He</t>
  </si>
  <si>
    <t>WOBBE INDEX:</t>
  </si>
  <si>
    <t>HEXANE</t>
  </si>
  <si>
    <t>C6H14</t>
  </si>
  <si>
    <t>HYDROGEN</t>
  </si>
  <si>
    <t>H2</t>
  </si>
  <si>
    <t>HYDROGEN SULFIDE</t>
  </si>
  <si>
    <t>H2S</t>
  </si>
  <si>
    <t>ISO-BUTANE</t>
  </si>
  <si>
    <t>C4H10</t>
  </si>
  <si>
    <t>ISO-PENTANE</t>
  </si>
  <si>
    <t>C5H12</t>
  </si>
  <si>
    <t>METHANE</t>
  </si>
  <si>
    <t>CH4</t>
  </si>
  <si>
    <t>N-BUTANE</t>
  </si>
  <si>
    <t>N-PENTANE</t>
  </si>
  <si>
    <t>NEO-PENTANE</t>
  </si>
  <si>
    <t>NITROGEN</t>
  </si>
  <si>
    <t>N2</t>
  </si>
  <si>
    <t>OXYGEN</t>
  </si>
  <si>
    <t>O2</t>
  </si>
  <si>
    <t>C5H10</t>
  </si>
  <si>
    <t>PROPANE</t>
  </si>
  <si>
    <t>C3H8</t>
  </si>
  <si>
    <t>PROPYLENE</t>
  </si>
  <si>
    <t>C3H6</t>
  </si>
  <si>
    <t>TOLUENE</t>
  </si>
  <si>
    <t>C7H8</t>
  </si>
  <si>
    <t>WATER VAPOR</t>
  </si>
  <si>
    <t>H2O</t>
  </si>
  <si>
    <t>TOTAL</t>
  </si>
  <si>
    <t>IDEAL</t>
  </si>
  <si>
    <t>Z</t>
  </si>
  <si>
    <t>REAL</t>
  </si>
  <si>
    <t>WOBBE</t>
  </si>
  <si>
    <t>SPECIFIC</t>
  </si>
  <si>
    <t>CALORIFIC</t>
  </si>
  <si>
    <t>INDEX</t>
  </si>
  <si>
    <t>IDEAL SG</t>
  </si>
  <si>
    <t>CV (G,D)</t>
  </si>
  <si>
    <t>GRAVITY</t>
  </si>
  <si>
    <t>VALUE</t>
  </si>
  <si>
    <t>FACTOR</t>
  </si>
  <si>
    <t>(GROSS,DRY)</t>
  </si>
  <si>
    <t>(NET,DRY)</t>
  </si>
  <si>
    <t>TOLUOL</t>
  </si>
  <si>
    <t>CALCULATIONS OF SPECIFIC GRAVITY, CALORIFIC VALUE &amp; WOBBE INDEX OF A GAS ACCORDING TO:</t>
  </si>
  <si>
    <t>STANDARD:   60 DEG F. @ 14.7345 PSIA</t>
  </si>
  <si>
    <t xml:space="preserve">      KJ/NM3</t>
  </si>
  <si>
    <t xml:space="preserve">    BTU/SCF</t>
  </si>
  <si>
    <t>OFFSET FROM CV NET TO CV GROSS   =</t>
  </si>
  <si>
    <t xml:space="preserve">       CV (N,D)</t>
  </si>
  <si>
    <t xml:space="preserve">          IDEAL</t>
  </si>
  <si>
    <t xml:space="preserve">   BTU/SCF</t>
  </si>
  <si>
    <t xml:space="preserve">  THE INSTITUTE OF GAS TECHNOLOGY (BULLETIN NO. 32)</t>
  </si>
  <si>
    <t>TOTAL IDEAL SG</t>
  </si>
  <si>
    <t>IDEAL CV (G,D)</t>
  </si>
  <si>
    <t>IDEAL CV (N,D)</t>
  </si>
  <si>
    <t>REAL SG</t>
  </si>
  <si>
    <t>CV GROSS,SAT</t>
  </si>
  <si>
    <t>CV NET,DRY</t>
  </si>
  <si>
    <t xml:space="preserve">             DATE:  </t>
  </si>
  <si>
    <t>BTU/LB</t>
  </si>
  <si>
    <t>MOLE WT</t>
  </si>
  <si>
    <t>MOLE  WT</t>
  </si>
  <si>
    <t>lbs/cu.ft.</t>
  </si>
  <si>
    <t>C1</t>
  </si>
  <si>
    <t>C2</t>
  </si>
  <si>
    <t>C3</t>
  </si>
  <si>
    <t>C4</t>
  </si>
  <si>
    <t>C5</t>
  </si>
  <si>
    <t>C6</t>
  </si>
  <si>
    <t>PENTENE</t>
  </si>
  <si>
    <t>#H's</t>
  </si>
  <si>
    <t># C's</t>
  </si>
  <si>
    <t>AIR COMPONENTS</t>
  </si>
  <si>
    <t>#O's</t>
  </si>
  <si>
    <t>Combustion Eq:</t>
  </si>
  <si>
    <t xml:space="preserve">CO2 </t>
  </si>
  <si>
    <t>2H2O</t>
  </si>
  <si>
    <t>+</t>
  </si>
  <si>
    <t>2O2</t>
  </si>
  <si>
    <t>CnHm</t>
  </si>
  <si>
    <t>(n+m/4)O2</t>
  </si>
  <si>
    <t xml:space="preserve">nCO2 </t>
  </si>
  <si>
    <t>(m/2)H2O</t>
  </si>
  <si>
    <t>With Air as approximated by the above components complete combustion:</t>
  </si>
  <si>
    <t>CnHm +</t>
  </si>
  <si>
    <t>(n+m/4)</t>
  </si>
  <si>
    <t xml:space="preserve">(O2 </t>
  </si>
  <si>
    <t>N2)</t>
  </si>
  <si>
    <t>nCO2</t>
  </si>
  <si>
    <t>(1+</t>
  </si>
  <si>
    <t>)</t>
  </si>
  <si>
    <t>as</t>
  </si>
  <si>
    <t>=</t>
  </si>
  <si>
    <t>Stoichiometric requirement for air (as)</t>
  </si>
  <si>
    <t>Thus each mole of hydrocarbon fuels complete combustion requires:</t>
  </si>
  <si>
    <t>(mol O2/mol Fuel)</t>
  </si>
  <si>
    <t>TOLULENE</t>
  </si>
  <si>
    <t>(You can chage the values of N2 and Oxygen and it will be reflected in the CARI</t>
  </si>
  <si>
    <r>
      <t xml:space="preserve">For any </t>
    </r>
    <r>
      <rPr>
        <b/>
        <sz val="10"/>
        <rFont val="Helv"/>
      </rPr>
      <t>hydrocarbon</t>
    </r>
    <r>
      <rPr>
        <sz val="10"/>
        <rFont val="Helv"/>
      </rPr>
      <t xml:space="preserve"> fuel with the composition CnHm</t>
    </r>
  </si>
  <si>
    <t>#S's</t>
  </si>
  <si>
    <t>% Conc</t>
  </si>
  <si>
    <t>CARI =</t>
  </si>
  <si>
    <t>Note: ratio for CO and H2 are from Hobre.</t>
  </si>
  <si>
    <t>Comp. As RATIO</t>
  </si>
  <si>
    <t>Weighted Value (As)</t>
  </si>
  <si>
    <t>CARI</t>
  </si>
  <si>
    <t>Stream aS</t>
  </si>
  <si>
    <t>which is the stoichiometric air to fuel ratio for a component or mixture of gases</t>
  </si>
  <si>
    <t>As</t>
  </si>
  <si>
    <t>Sq (S.G)</t>
  </si>
  <si>
    <t>DENSITY</t>
  </si>
  <si>
    <t>COMPRESSIBILITY (Z)</t>
  </si>
  <si>
    <t>SPECIFIC GRAVITY</t>
  </si>
  <si>
    <t>1)  NET,DRY</t>
  </si>
  <si>
    <t>2)  GROSS,DRY</t>
  </si>
  <si>
    <t>3)  NET,SATURATED</t>
  </si>
  <si>
    <t>4)  GROSS,SATURATED</t>
  </si>
  <si>
    <t>GAS COMPOSITION NAME</t>
  </si>
  <si>
    <t>Hi Cal Gas</t>
  </si>
  <si>
    <t>NOTE: manually added H2S CARI value 9/1/06 dh from Thermo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</si>
</sst>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_)"/>
    <numFmt numFmtId="165" formatCode="0.0_)"/>
    <numFmt numFmtId="166" formatCode="mm/dd/yy_)"/>
    <numFmt numFmtId="167" formatCode="0.00_)"/>
    <numFmt numFmtId="168" formatCode="0.00000_)"/>
    <numFmt numFmtId="169" formatCode="0_)"/>
    <numFmt numFmtId="170" formatCode="0.000000_)"/>
    <numFmt numFmtId="171" formatCode="0.000"/>
    <numFmt numFmtId="172" formatCode="0.00000"/>
  </numFmts>
  <fonts count="9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0"/>
      <color indexed="10"/>
      <name val="Helv"/>
    </font>
    <font>
      <b/>
      <sz val="10"/>
      <color indexed="13"/>
      <name val="Helv"/>
    </font>
    <font>
      <sz val="8"/>
      <name val="Helv"/>
    </font>
    <font>
      <b/>
      <sz val="9"/>
      <name val="Helv"/>
    </font>
    <font>
      <b/>
      <sz val="8"/>
      <name val="Helv"/>
    </font>
    <font>
      <b/>
      <sz val="10"/>
      <color indexed="9"/>
      <name val="Helv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right"/>
    </xf>
    <xf numFmtId="0" fontId="1" fillId="0" borderId="0" xfId="0" applyFont="1" applyProtection="1">
      <protection locked="0"/>
    </xf>
    <xf numFmtId="167" fontId="0" fillId="0" borderId="0" xfId="0" applyNumberFormat="1" applyProtection="1"/>
    <xf numFmtId="168" fontId="0" fillId="0" borderId="0" xfId="0" applyNumberFormat="1" applyProtection="1"/>
    <xf numFmtId="0" fontId="1" fillId="0" borderId="0" xfId="0" applyFont="1" applyAlignment="1" applyProtection="1">
      <alignment horizontal="left"/>
      <protection locked="0"/>
    </xf>
    <xf numFmtId="170" fontId="0" fillId="0" borderId="0" xfId="0" applyNumberFormat="1" applyProtection="1"/>
    <xf numFmtId="170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Border="1" applyProtection="1"/>
    <xf numFmtId="17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17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0" fontId="0" fillId="0" borderId="1" xfId="0" applyBorder="1" applyAlignment="1" applyProtection="1">
      <alignment horizontal="left"/>
    </xf>
    <xf numFmtId="171" fontId="4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2" fontId="3" fillId="0" borderId="0" xfId="0" applyNumberFormat="1" applyFont="1"/>
    <xf numFmtId="0" fontId="0" fillId="0" borderId="2" xfId="0" applyBorder="1" applyAlignment="1">
      <alignment horizontal="center"/>
    </xf>
    <xf numFmtId="0" fontId="2" fillId="0" borderId="0" xfId="0" applyFont="1" applyBorder="1" applyProtection="1"/>
    <xf numFmtId="0" fontId="0" fillId="0" borderId="3" xfId="0" applyBorder="1" applyProtection="1"/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2" fillId="0" borderId="4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9" fontId="0" fillId="0" borderId="0" xfId="0" applyNumberFormat="1" applyBorder="1" applyProtection="1"/>
    <xf numFmtId="0" fontId="0" fillId="0" borderId="0" xfId="0" applyBorder="1" applyAlignment="1" applyProtection="1">
      <alignment horizontal="center"/>
    </xf>
    <xf numFmtId="0" fontId="2" fillId="0" borderId="4" xfId="0" applyFont="1" applyBorder="1"/>
    <xf numFmtId="0" fontId="0" fillId="0" borderId="1" xfId="0" applyBorder="1" applyProtection="1"/>
    <xf numFmtId="0" fontId="0" fillId="0" borderId="5" xfId="0" applyBorder="1" applyProtection="1"/>
    <xf numFmtId="0" fontId="2" fillId="0" borderId="0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left"/>
    </xf>
    <xf numFmtId="0" fontId="5" fillId="0" borderId="7" xfId="0" applyFont="1" applyBorder="1" applyProtection="1"/>
    <xf numFmtId="0" fontId="5" fillId="0" borderId="7" xfId="0" applyFont="1" applyBorder="1"/>
    <xf numFmtId="0" fontId="5" fillId="0" borderId="7" xfId="0" applyFont="1" applyBorder="1" applyAlignment="1" applyProtection="1">
      <alignment horizontal="left"/>
    </xf>
    <xf numFmtId="166" fontId="5" fillId="0" borderId="8" xfId="0" applyNumberFormat="1" applyFont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6" fillId="3" borderId="3" xfId="0" applyFont="1" applyFill="1" applyBorder="1" applyAlignment="1" applyProtection="1">
      <alignment horizontal="left"/>
    </xf>
    <xf numFmtId="0" fontId="2" fillId="3" borderId="0" xfId="0" applyFont="1" applyFill="1" applyBorder="1" applyProtection="1"/>
    <xf numFmtId="0" fontId="0" fillId="3" borderId="0" xfId="0" applyFill="1" applyBorder="1" applyProtection="1"/>
    <xf numFmtId="49" fontId="0" fillId="3" borderId="0" xfId="0" applyNumberFormat="1" applyFill="1" applyBorder="1" applyAlignment="1" applyProtection="1">
      <alignment horizontal="left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/>
    </xf>
    <xf numFmtId="0" fontId="0" fillId="3" borderId="1" xfId="0" applyFill="1" applyBorder="1" applyProtection="1"/>
    <xf numFmtId="0" fontId="2" fillId="3" borderId="1" xfId="0" applyFont="1" applyFill="1" applyBorder="1" applyProtection="1"/>
    <xf numFmtId="164" fontId="0" fillId="3" borderId="0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left"/>
    </xf>
    <xf numFmtId="0" fontId="2" fillId="3" borderId="10" xfId="0" applyFont="1" applyFill="1" applyBorder="1" applyProtection="1"/>
    <xf numFmtId="0" fontId="7" fillId="0" borderId="7" xfId="0" applyFont="1" applyBorder="1" applyAlignment="1">
      <alignment horizontal="center"/>
    </xf>
    <xf numFmtId="0" fontId="0" fillId="3" borderId="11" xfId="0" applyFill="1" applyBorder="1" applyProtection="1"/>
    <xf numFmtId="0" fontId="8" fillId="4" borderId="0" xfId="0" applyFont="1" applyFill="1" applyBorder="1" applyProtection="1">
      <protection locked="0"/>
    </xf>
    <xf numFmtId="171" fontId="8" fillId="4" borderId="0" xfId="0" applyNumberFormat="1" applyFont="1" applyFill="1" applyBorder="1" applyAlignment="1" applyProtection="1">
      <alignment horizontal="center"/>
    </xf>
    <xf numFmtId="172" fontId="8" fillId="4" borderId="0" xfId="0" applyNumberFormat="1" applyFont="1" applyFill="1" applyBorder="1" applyAlignment="1" applyProtection="1">
      <alignment horizontal="center"/>
    </xf>
    <xf numFmtId="164" fontId="8" fillId="4" borderId="0" xfId="0" applyNumberFormat="1" applyFont="1" applyFill="1" applyBorder="1" applyAlignment="1" applyProtection="1">
      <alignment horizontal="center"/>
    </xf>
    <xf numFmtId="165" fontId="8" fillId="4" borderId="0" xfId="0" applyNumberFormat="1" applyFont="1" applyFill="1" applyBorder="1" applyAlignment="1" applyProtection="1">
      <alignment horizontal="center"/>
    </xf>
    <xf numFmtId="169" fontId="8" fillId="4" borderId="0" xfId="0" applyNumberFormat="1" applyFont="1" applyFill="1" applyBorder="1" applyAlignment="1" applyProtection="1">
      <alignment horizontal="center"/>
    </xf>
    <xf numFmtId="169" fontId="8" fillId="4" borderId="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8</xdr:row>
      <xdr:rowOff>85725</xdr:rowOff>
    </xdr:from>
    <xdr:to>
      <xdr:col>16</xdr:col>
      <xdr:colOff>495300</xdr:colOff>
      <xdr:row>8</xdr:row>
      <xdr:rowOff>85725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91675" y="170497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304800</xdr:colOff>
      <xdr:row>16</xdr:row>
      <xdr:rowOff>85725</xdr:rowOff>
    </xdr:from>
    <xdr:to>
      <xdr:col>17</xdr:col>
      <xdr:colOff>76200</xdr:colOff>
      <xdr:row>16</xdr:row>
      <xdr:rowOff>85725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9829800" y="3000375"/>
          <a:ext cx="381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142875</xdr:colOff>
      <xdr:row>12</xdr:row>
      <xdr:rowOff>66675</xdr:rowOff>
    </xdr:from>
    <xdr:to>
      <xdr:col>16</xdr:col>
      <xdr:colOff>571500</xdr:colOff>
      <xdr:row>12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667875" y="233362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W77"/>
  <sheetViews>
    <sheetView showGridLines="0" tabSelected="1" topLeftCell="A5" workbookViewId="0">
      <selection activeCell="D11" sqref="D11"/>
    </sheetView>
  </sheetViews>
  <sheetFormatPr defaultColWidth="11.42578125" defaultRowHeight="12.75" x14ac:dyDescent="0.2"/>
  <cols>
    <col min="1" max="1" width="2.28515625" customWidth="1"/>
    <col min="2" max="2" width="22.85546875" customWidth="1"/>
    <col min="3" max="3" width="11.42578125" customWidth="1"/>
    <col min="4" max="4" width="6.85546875" customWidth="1"/>
    <col min="5" max="5" width="4.85546875" customWidth="1"/>
    <col min="6" max="6" width="25" customWidth="1"/>
    <col min="7" max="7" width="12.85546875" customWidth="1"/>
    <col min="8" max="9" width="10.85546875" customWidth="1"/>
    <col min="10" max="10" width="5.85546875" customWidth="1"/>
    <col min="11" max="11" width="11.42578125" customWidth="1"/>
    <col min="12" max="12" width="11.85546875" customWidth="1"/>
    <col min="13" max="13" width="15.85546875" customWidth="1"/>
    <col min="14" max="14" width="13.85546875" customWidth="1"/>
    <col min="15" max="15" width="16.85546875" customWidth="1"/>
    <col min="16" max="16" width="10.85546875" customWidth="1"/>
    <col min="17" max="17" width="13.85546875" customWidth="1"/>
    <col min="18" max="18" width="12.85546875" customWidth="1"/>
    <col min="19" max="20" width="14.85546875" customWidth="1"/>
    <col min="21" max="21" width="3.85546875" customWidth="1"/>
    <col min="22" max="22" width="10.85546875" customWidth="1"/>
  </cols>
  <sheetData>
    <row r="1" spans="2:22" x14ac:dyDescent="0.2">
      <c r="B1" s="1" t="s">
        <v>77</v>
      </c>
      <c r="C1" s="2"/>
      <c r="D1" s="2"/>
      <c r="E1" s="1"/>
      <c r="F1" s="2"/>
      <c r="G1" s="2"/>
      <c r="H1" s="2"/>
      <c r="I1" s="2"/>
      <c r="Q1" s="2"/>
      <c r="R1" s="2"/>
      <c r="S1" s="2"/>
      <c r="T1" s="2"/>
      <c r="U1" s="2"/>
      <c r="V1" s="2"/>
    </row>
    <row r="2" spans="2:22" x14ac:dyDescent="0.2">
      <c r="B2" s="1"/>
      <c r="C2" s="1" t="s">
        <v>85</v>
      </c>
      <c r="D2" s="2"/>
      <c r="E2" s="2"/>
      <c r="F2" s="2"/>
      <c r="G2" s="2"/>
      <c r="H2" s="2"/>
      <c r="I2" s="2"/>
      <c r="Q2" s="2"/>
      <c r="R2" s="2"/>
      <c r="S2" s="2"/>
      <c r="T2" s="2"/>
      <c r="U2" s="2"/>
      <c r="V2" s="2"/>
    </row>
    <row r="3" spans="2:22" ht="13.5" thickBo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4"/>
      <c r="P3" s="4"/>
      <c r="Q3" s="2"/>
      <c r="R3" s="2"/>
      <c r="S3" s="2"/>
      <c r="T3" s="2"/>
      <c r="U3" s="2"/>
      <c r="V3" s="2"/>
    </row>
    <row r="4" spans="2:22" x14ac:dyDescent="0.2">
      <c r="B4" s="47" t="s">
        <v>78</v>
      </c>
      <c r="C4" s="48"/>
      <c r="D4" s="49"/>
      <c r="E4" s="49"/>
      <c r="F4" s="70" t="s">
        <v>151</v>
      </c>
      <c r="G4" s="49"/>
      <c r="H4" s="50" t="s">
        <v>92</v>
      </c>
      <c r="I4" s="51">
        <f ca="1">TRUNC(NOW())</f>
        <v>41691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22" ht="13.5" thickBot="1" x14ac:dyDescent="0.25">
      <c r="B5" s="38" t="s">
        <v>1</v>
      </c>
      <c r="C5" s="40" t="s">
        <v>2</v>
      </c>
      <c r="D5" s="46" t="s">
        <v>3</v>
      </c>
      <c r="E5" s="14"/>
      <c r="F5" s="71" t="s">
        <v>152</v>
      </c>
      <c r="G5" s="14"/>
      <c r="H5" s="14"/>
      <c r="I5" s="34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2:22" ht="13.5" thickTop="1" x14ac:dyDescent="0.2">
      <c r="B6" s="35"/>
      <c r="C6" s="36"/>
      <c r="D6" s="36"/>
      <c r="E6" s="36"/>
      <c r="F6" s="36"/>
      <c r="G6" s="36"/>
      <c r="H6" s="36"/>
      <c r="I6" s="37"/>
    </row>
    <row r="7" spans="2:22" x14ac:dyDescent="0.2">
      <c r="B7" s="61" t="s">
        <v>8</v>
      </c>
      <c r="C7" s="68" t="s">
        <v>9</v>
      </c>
      <c r="D7" s="72">
        <v>0</v>
      </c>
      <c r="E7" s="14"/>
      <c r="F7" s="55" t="s">
        <v>139</v>
      </c>
      <c r="G7" s="73">
        <f>'CARI Calcs'!B36</f>
        <v>2.8653680409687774</v>
      </c>
      <c r="H7" s="56"/>
      <c r="I7" s="34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2" x14ac:dyDescent="0.2">
      <c r="B8" s="61" t="s">
        <v>10</v>
      </c>
      <c r="C8" s="69"/>
      <c r="D8" s="72">
        <v>80</v>
      </c>
      <c r="E8" s="14"/>
      <c r="F8" s="55" t="s">
        <v>144</v>
      </c>
      <c r="G8" s="74">
        <f>G10*G33</f>
        <v>7.5865617235276003E-2</v>
      </c>
      <c r="H8" s="57" t="s">
        <v>96</v>
      </c>
      <c r="I8" s="37"/>
      <c r="L8" s="2" t="s">
        <v>153</v>
      </c>
      <c r="M8" s="2"/>
      <c r="N8" s="2"/>
      <c r="O8" s="2"/>
      <c r="P8" s="2"/>
      <c r="Q8" s="2"/>
      <c r="R8" s="2"/>
      <c r="S8" s="2"/>
      <c r="T8" s="2"/>
      <c r="U8" s="2"/>
    </row>
    <row r="9" spans="2:22" x14ac:dyDescent="0.2">
      <c r="B9" s="61" t="s">
        <v>11</v>
      </c>
      <c r="C9" s="68" t="s">
        <v>12</v>
      </c>
      <c r="D9" s="72">
        <v>0</v>
      </c>
      <c r="E9" s="14"/>
      <c r="F9" s="52" t="s">
        <v>145</v>
      </c>
      <c r="G9" s="75">
        <f>1-(SUM(O52:O77)-26)^2</f>
        <v>0.99899194673725089</v>
      </c>
      <c r="H9" s="56"/>
      <c r="I9" s="34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2" x14ac:dyDescent="0.2">
      <c r="B10" s="61" t="s">
        <v>13</v>
      </c>
      <c r="C10" s="68" t="s">
        <v>14</v>
      </c>
      <c r="D10" s="72">
        <v>0</v>
      </c>
      <c r="E10" s="14"/>
      <c r="F10" s="52" t="s">
        <v>146</v>
      </c>
      <c r="G10" s="75">
        <f>G43*I53/M43</f>
        <v>0.99430691002982963</v>
      </c>
      <c r="H10" s="58"/>
      <c r="I10" s="37"/>
      <c r="L10" s="6">
        <v>0</v>
      </c>
      <c r="M10" s="2"/>
      <c r="N10" s="2"/>
      <c r="O10" s="2"/>
      <c r="P10" s="2"/>
      <c r="Q10" s="2"/>
      <c r="R10" s="2"/>
      <c r="S10" s="2"/>
      <c r="T10" s="2"/>
      <c r="U10" s="2"/>
    </row>
    <row r="11" spans="2:22" x14ac:dyDescent="0.2">
      <c r="B11" s="61" t="s">
        <v>17</v>
      </c>
      <c r="C11" s="68" t="s">
        <v>18</v>
      </c>
      <c r="D11" s="72">
        <v>0</v>
      </c>
      <c r="E11" s="14"/>
      <c r="F11" s="33"/>
      <c r="G11" s="14"/>
      <c r="H11" s="14"/>
      <c r="I11" s="34"/>
      <c r="L11" s="9" t="s">
        <v>19</v>
      </c>
      <c r="M11" s="2"/>
      <c r="N11" s="2"/>
      <c r="O11" s="2"/>
      <c r="P11" s="2"/>
      <c r="Q11" s="2"/>
      <c r="R11" s="2"/>
      <c r="S11" s="2"/>
      <c r="T11" s="2"/>
      <c r="U11" s="2"/>
    </row>
    <row r="12" spans="2:22" x14ac:dyDescent="0.2">
      <c r="B12" s="61" t="s">
        <v>20</v>
      </c>
      <c r="C12" s="68" t="s">
        <v>21</v>
      </c>
      <c r="D12" s="72">
        <v>0</v>
      </c>
      <c r="E12" s="14"/>
      <c r="F12" s="52" t="s">
        <v>15</v>
      </c>
      <c r="G12" s="53" t="s">
        <v>80</v>
      </c>
      <c r="H12" s="53" t="s">
        <v>16</v>
      </c>
      <c r="I12" s="54" t="s">
        <v>79</v>
      </c>
      <c r="L12" s="6"/>
      <c r="M12" s="2"/>
      <c r="N12" s="2"/>
      <c r="O12" s="2"/>
      <c r="P12" s="2"/>
      <c r="Q12" s="2"/>
      <c r="R12" s="2"/>
      <c r="S12" s="2"/>
      <c r="T12" s="2"/>
      <c r="U12" s="2"/>
    </row>
    <row r="13" spans="2:22" x14ac:dyDescent="0.2">
      <c r="B13" s="61" t="s">
        <v>22</v>
      </c>
      <c r="C13" s="68" t="s">
        <v>23</v>
      </c>
      <c r="D13" s="72">
        <v>0</v>
      </c>
      <c r="E13" s="14"/>
      <c r="F13" s="52" t="s">
        <v>147</v>
      </c>
      <c r="G13" s="76">
        <f>K43/M43</f>
        <v>300.87730034429921</v>
      </c>
      <c r="H13" s="77">
        <f>(G13/0.106554)</f>
        <v>2823.7072314910679</v>
      </c>
      <c r="I13" s="78">
        <f>(G13/0.025462)</f>
        <v>11816.719045805485</v>
      </c>
      <c r="L13" s="9" t="s">
        <v>24</v>
      </c>
      <c r="M13" s="2"/>
      <c r="N13" s="2"/>
      <c r="O13" s="2"/>
      <c r="P13" s="2"/>
      <c r="Q13" s="2"/>
      <c r="R13" s="2"/>
      <c r="S13" s="2"/>
      <c r="T13" s="2"/>
      <c r="U13" s="2"/>
    </row>
    <row r="14" spans="2:22" x14ac:dyDescent="0.2">
      <c r="B14" s="61" t="s">
        <v>25</v>
      </c>
      <c r="C14" s="68" t="s">
        <v>26</v>
      </c>
      <c r="D14" s="72">
        <v>0</v>
      </c>
      <c r="E14" s="40" t="s">
        <v>98</v>
      </c>
      <c r="F14" s="52" t="s">
        <v>148</v>
      </c>
      <c r="G14" s="76">
        <f>I43/M43</f>
        <v>321.07365934989048</v>
      </c>
      <c r="H14" s="77">
        <f>(G14/0.106554)</f>
        <v>3013.248299922016</v>
      </c>
      <c r="I14" s="78">
        <f>(G14/0.025462)</f>
        <v>12609.915142168349</v>
      </c>
      <c r="L14" s="6"/>
      <c r="M14" s="2"/>
      <c r="N14" s="2"/>
      <c r="O14" s="2"/>
      <c r="P14" s="2"/>
      <c r="Q14" s="2"/>
      <c r="R14" s="2"/>
      <c r="S14" s="2"/>
      <c r="T14" s="2"/>
      <c r="U14" s="2"/>
    </row>
    <row r="15" spans="2:22" x14ac:dyDescent="0.2">
      <c r="B15" s="61" t="s">
        <v>27</v>
      </c>
      <c r="C15" s="68" t="s">
        <v>28</v>
      </c>
      <c r="D15" s="72">
        <v>20</v>
      </c>
      <c r="E15" s="40"/>
      <c r="F15" s="52" t="s">
        <v>149</v>
      </c>
      <c r="G15" s="76">
        <f>G13*0.982617</f>
        <v>295.64715023241428</v>
      </c>
      <c r="H15" s="77">
        <f>(G15/0.106554)</f>
        <v>2774.6227286860585</v>
      </c>
      <c r="I15" s="78">
        <f>(G15/0.025462)</f>
        <v>11611.309018632248</v>
      </c>
      <c r="L15" s="9" t="s">
        <v>29</v>
      </c>
      <c r="M15" s="2"/>
      <c r="N15" s="2"/>
      <c r="O15" s="2"/>
      <c r="P15" s="2"/>
      <c r="Q15" s="2"/>
      <c r="R15" s="2"/>
      <c r="S15" s="2"/>
      <c r="T15" s="2"/>
      <c r="U15" s="2"/>
    </row>
    <row r="16" spans="2:22" x14ac:dyDescent="0.2">
      <c r="B16" s="61" t="s">
        <v>30</v>
      </c>
      <c r="C16" s="68" t="s">
        <v>31</v>
      </c>
      <c r="D16" s="72">
        <v>0</v>
      </c>
      <c r="E16" s="40"/>
      <c r="F16" s="52" t="s">
        <v>150</v>
      </c>
      <c r="G16" s="76">
        <f>G14*0.982617</f>
        <v>315.49243592941133</v>
      </c>
      <c r="H16" s="77">
        <f>(G16/0.106554)</f>
        <v>2960.8690047244713</v>
      </c>
      <c r="I16" s="78">
        <f>(G16/0.025462)</f>
        <v>12390.716987252037</v>
      </c>
      <c r="L16" s="6"/>
      <c r="M16" s="2"/>
      <c r="N16" s="2"/>
      <c r="O16" s="2"/>
      <c r="P16" s="2"/>
      <c r="Q16" s="2"/>
      <c r="R16" s="2"/>
      <c r="S16" s="2"/>
      <c r="T16" s="2"/>
      <c r="U16" s="2"/>
    </row>
    <row r="17" spans="2:21" x14ac:dyDescent="0.2">
      <c r="B17" s="61" t="s">
        <v>33</v>
      </c>
      <c r="C17" s="68" t="s">
        <v>34</v>
      </c>
      <c r="D17" s="72">
        <v>0</v>
      </c>
      <c r="E17" s="40" t="s">
        <v>102</v>
      </c>
      <c r="F17" s="33"/>
      <c r="G17" s="14"/>
      <c r="H17" s="41"/>
      <c r="I17" s="34"/>
      <c r="M17" s="2"/>
      <c r="N17" s="2"/>
      <c r="O17" s="2"/>
      <c r="P17" s="2"/>
      <c r="Q17" s="2"/>
      <c r="R17" s="2"/>
      <c r="S17" s="2"/>
      <c r="T17" s="2"/>
      <c r="U17" s="2"/>
    </row>
    <row r="18" spans="2:21" x14ac:dyDescent="0.2">
      <c r="B18" s="61" t="s">
        <v>35</v>
      </c>
      <c r="C18" s="68" t="s">
        <v>36</v>
      </c>
      <c r="D18" s="72">
        <v>0</v>
      </c>
      <c r="E18" s="40"/>
      <c r="F18" s="52" t="s">
        <v>32</v>
      </c>
      <c r="G18" s="53" t="s">
        <v>84</v>
      </c>
      <c r="H18" s="53" t="s">
        <v>16</v>
      </c>
      <c r="I18" s="54" t="s">
        <v>79</v>
      </c>
      <c r="M18" s="2"/>
      <c r="N18" s="2"/>
      <c r="O18" s="2"/>
      <c r="P18" s="2"/>
      <c r="Q18" s="2"/>
      <c r="R18" s="2"/>
      <c r="S18" s="2"/>
      <c r="T18" s="2"/>
      <c r="U18" s="2"/>
    </row>
    <row r="19" spans="2:21" x14ac:dyDescent="0.2">
      <c r="B19" s="61" t="s">
        <v>37</v>
      </c>
      <c r="C19" s="68" t="s">
        <v>38</v>
      </c>
      <c r="D19" s="72">
        <v>0</v>
      </c>
      <c r="E19" s="40"/>
      <c r="F19" s="52" t="s">
        <v>147</v>
      </c>
      <c r="G19" s="76">
        <f>G13/(G43*I53/M43)^0.5</f>
        <v>301.73743548212201</v>
      </c>
      <c r="H19" s="77">
        <f>(G19/0.106554)</f>
        <v>2831.7795247679301</v>
      </c>
      <c r="I19" s="78">
        <f>(G19/0.025462)</f>
        <v>11850.500176031814</v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x14ac:dyDescent="0.2">
      <c r="B20" s="61" t="s">
        <v>39</v>
      </c>
      <c r="C20" s="68" t="s">
        <v>40</v>
      </c>
      <c r="D20" s="72">
        <v>0</v>
      </c>
      <c r="E20" s="40" t="s">
        <v>100</v>
      </c>
      <c r="F20" s="52" t="s">
        <v>148</v>
      </c>
      <c r="G20" s="76">
        <f>G14/(G43*I53/M43)^0.5</f>
        <v>321.99153097370578</v>
      </c>
      <c r="H20" s="77">
        <f>(G20/0.106554)</f>
        <v>3021.8624450861139</v>
      </c>
      <c r="I20" s="78">
        <f>(G20/0.025462)</f>
        <v>12645.963827417556</v>
      </c>
      <c r="M20" s="2"/>
      <c r="N20" s="2"/>
      <c r="O20" s="2"/>
      <c r="P20" s="2"/>
      <c r="Q20" s="2"/>
      <c r="R20" s="2"/>
      <c r="S20" s="2"/>
      <c r="T20" s="2"/>
      <c r="U20" s="2"/>
    </row>
    <row r="21" spans="2:21" x14ac:dyDescent="0.2">
      <c r="B21" s="61" t="s">
        <v>41</v>
      </c>
      <c r="C21" s="68" t="s">
        <v>42</v>
      </c>
      <c r="D21" s="72">
        <v>0</v>
      </c>
      <c r="E21" s="40" t="s">
        <v>101</v>
      </c>
      <c r="F21" s="52" t="s">
        <v>149</v>
      </c>
      <c r="G21" s="76">
        <f>G15/(G43*I53/M43)^0.5</f>
        <v>296.49233364113633</v>
      </c>
      <c r="H21" s="77">
        <f>(G21/0.106554)</f>
        <v>2782.5547012888896</v>
      </c>
      <c r="I21" s="78">
        <f>(G21/0.025462)</f>
        <v>11644.502931471854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x14ac:dyDescent="0.2">
      <c r="B22" s="61" t="s">
        <v>43</v>
      </c>
      <c r="C22" s="68" t="s">
        <v>44</v>
      </c>
      <c r="D22" s="72">
        <v>0</v>
      </c>
      <c r="E22" s="40" t="s">
        <v>97</v>
      </c>
      <c r="F22" s="52" t="s">
        <v>150</v>
      </c>
      <c r="G22" s="76">
        <f>G16/(G43*I53/M43)^0.5</f>
        <v>316.39435219078985</v>
      </c>
      <c r="H22" s="77">
        <f>(G22/0.106554)</f>
        <v>2969.3334102031822</v>
      </c>
      <c r="I22" s="78">
        <f>(G22/0.025462)</f>
        <v>12426.139038205556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 x14ac:dyDescent="0.2">
      <c r="B23" s="61" t="s">
        <v>45</v>
      </c>
      <c r="C23" s="68" t="s">
        <v>40</v>
      </c>
      <c r="D23" s="72">
        <v>0</v>
      </c>
      <c r="E23" s="40"/>
      <c r="F23" s="14"/>
      <c r="G23" s="14"/>
      <c r="H23" s="42"/>
      <c r="I23" s="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x14ac:dyDescent="0.2">
      <c r="B24" s="61" t="s">
        <v>46</v>
      </c>
      <c r="C24" s="68" t="s">
        <v>42</v>
      </c>
      <c r="D24" s="72">
        <v>0</v>
      </c>
      <c r="E24" s="40"/>
      <c r="F24" s="62" t="s">
        <v>81</v>
      </c>
      <c r="G24" s="56"/>
      <c r="H24" s="66">
        <f>G14/G13</f>
        <v>1.06712490102271</v>
      </c>
      <c r="I24" s="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 x14ac:dyDescent="0.2">
      <c r="B25" s="61" t="s">
        <v>47</v>
      </c>
      <c r="C25" s="68" t="s">
        <v>42</v>
      </c>
      <c r="D25" s="72">
        <v>0</v>
      </c>
      <c r="E25" s="40"/>
      <c r="F25" s="39"/>
      <c r="G25" s="36"/>
      <c r="H25" s="14"/>
      <c r="I25" s="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 x14ac:dyDescent="0.2">
      <c r="B26" s="61" t="s">
        <v>48</v>
      </c>
      <c r="C26" s="68" t="s">
        <v>49</v>
      </c>
      <c r="D26" s="72">
        <v>0</v>
      </c>
      <c r="E26" s="40"/>
      <c r="F26" s="14"/>
      <c r="G26" s="59" t="s">
        <v>95</v>
      </c>
      <c r="H26" s="14"/>
      <c r="I26" s="3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 x14ac:dyDescent="0.2">
      <c r="B27" s="61" t="s">
        <v>50</v>
      </c>
      <c r="C27" s="68" t="s">
        <v>51</v>
      </c>
      <c r="D27" s="72">
        <v>0</v>
      </c>
      <c r="E27" s="40"/>
      <c r="F27" s="14"/>
      <c r="G27" s="56">
        <f>SUM(W52:W77)</f>
        <v>28.782356</v>
      </c>
      <c r="H27" s="14"/>
      <c r="I27" s="3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 x14ac:dyDescent="0.2">
      <c r="B28" s="61" t="s">
        <v>103</v>
      </c>
      <c r="C28" s="68" t="s">
        <v>52</v>
      </c>
      <c r="D28" s="72">
        <v>0</v>
      </c>
      <c r="E28" s="40"/>
      <c r="F28" s="14"/>
      <c r="G28" s="56"/>
      <c r="H28" s="14"/>
      <c r="I28" s="3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2:21" x14ac:dyDescent="0.2">
      <c r="B29" s="61" t="s">
        <v>53</v>
      </c>
      <c r="C29" s="68" t="s">
        <v>54</v>
      </c>
      <c r="D29" s="72">
        <v>0</v>
      </c>
      <c r="E29" s="40" t="s">
        <v>99</v>
      </c>
      <c r="F29" s="14"/>
      <c r="G29" s="59" t="s">
        <v>93</v>
      </c>
      <c r="H29" s="14"/>
      <c r="I29" s="3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2:21" x14ac:dyDescent="0.2">
      <c r="B30" s="61" t="s">
        <v>55</v>
      </c>
      <c r="C30" s="68" t="s">
        <v>56</v>
      </c>
      <c r="D30" s="72">
        <v>0</v>
      </c>
      <c r="E30" s="14"/>
      <c r="F30" s="36"/>
      <c r="G30" s="60">
        <f>(G13*(1/G33))/G10</f>
        <v>3965.9243713949149</v>
      </c>
      <c r="H30" s="14"/>
      <c r="I30" s="3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2:21" x14ac:dyDescent="0.2">
      <c r="B31" s="61" t="s">
        <v>57</v>
      </c>
      <c r="C31" s="68" t="s">
        <v>58</v>
      </c>
      <c r="D31" s="72">
        <v>0</v>
      </c>
      <c r="E31" s="14"/>
      <c r="F31" s="36"/>
      <c r="G31" s="58"/>
      <c r="H31" s="14"/>
      <c r="I31" s="3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2:21" x14ac:dyDescent="0.2">
      <c r="B32" s="61" t="s">
        <v>59</v>
      </c>
      <c r="C32" s="68" t="s">
        <v>60</v>
      </c>
      <c r="D32" s="72">
        <v>0</v>
      </c>
      <c r="E32" s="14"/>
      <c r="F32" s="14"/>
      <c r="G32" s="59" t="s">
        <v>10</v>
      </c>
      <c r="H32" s="14"/>
      <c r="I32" s="3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23" x14ac:dyDescent="0.2">
      <c r="B33" s="43"/>
      <c r="C33" s="36"/>
      <c r="D33" s="36"/>
      <c r="E33" s="36"/>
      <c r="F33" s="14"/>
      <c r="G33" s="59">
        <v>7.6300000000000007E-2</v>
      </c>
      <c r="H33" s="14"/>
      <c r="I33" s="34"/>
    </row>
    <row r="34" spans="2:23" ht="13.5" thickBot="1" x14ac:dyDescent="0.25">
      <c r="B34" s="63" t="s">
        <v>61</v>
      </c>
      <c r="C34" s="64"/>
      <c r="D34" s="65">
        <f>SUM(D7:D32)</f>
        <v>100</v>
      </c>
      <c r="E34" s="44"/>
      <c r="F34" s="44"/>
      <c r="G34" s="67" t="s">
        <v>96</v>
      </c>
      <c r="H34" s="44"/>
      <c r="I34" s="4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42" spans="2:23" x14ac:dyDescent="0.2">
      <c r="G42" s="1" t="s">
        <v>86</v>
      </c>
      <c r="I42" s="1" t="s">
        <v>87</v>
      </c>
      <c r="K42" s="5" t="s">
        <v>88</v>
      </c>
      <c r="M42" s="1" t="s">
        <v>0</v>
      </c>
      <c r="N42" s="5" t="s">
        <v>89</v>
      </c>
      <c r="O42" s="5" t="s">
        <v>90</v>
      </c>
      <c r="Q42" s="5" t="s">
        <v>91</v>
      </c>
    </row>
    <row r="43" spans="2:23" x14ac:dyDescent="0.2">
      <c r="G43" s="2">
        <f>SUM(L52:L77)</f>
        <v>0.99371500000000001</v>
      </c>
      <c r="I43" s="2">
        <f>SUM(M52:M77)</f>
        <v>320.75</v>
      </c>
      <c r="K43" s="2">
        <f>SUM(N52:N77)</f>
        <v>300.57400000000001</v>
      </c>
      <c r="M43" s="3">
        <f>1-(SUM(O52:O77)-26)^2</f>
        <v>0.99899194673725089</v>
      </c>
      <c r="N43" s="3">
        <f>G43*I53/M43</f>
        <v>0.99430691002982963</v>
      </c>
      <c r="O43" s="4">
        <f>I43/M43</f>
        <v>321.07365934989048</v>
      </c>
      <c r="Q43" s="4">
        <f>K43/M43</f>
        <v>300.87730034429921</v>
      </c>
    </row>
    <row r="47" spans="2:23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5" t="s">
        <v>61</v>
      </c>
      <c r="M47" s="5" t="s">
        <v>62</v>
      </c>
      <c r="N47" s="5" t="s">
        <v>62</v>
      </c>
      <c r="O47" s="5" t="s">
        <v>63</v>
      </c>
      <c r="P47" s="12" t="s">
        <v>64</v>
      </c>
      <c r="Q47" s="5" t="s">
        <v>64</v>
      </c>
      <c r="R47" s="5" t="s">
        <v>64</v>
      </c>
      <c r="S47" s="5" t="s">
        <v>65</v>
      </c>
      <c r="T47" s="5" t="s">
        <v>65</v>
      </c>
      <c r="V47" s="5" t="s">
        <v>5</v>
      </c>
      <c r="W47" s="13" t="s">
        <v>94</v>
      </c>
    </row>
    <row r="48" spans="2:23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11" t="s">
        <v>62</v>
      </c>
      <c r="M48" s="5" t="s">
        <v>67</v>
      </c>
      <c r="N48" s="5" t="s">
        <v>67</v>
      </c>
      <c r="O48" s="5" t="s">
        <v>0</v>
      </c>
      <c r="P48" s="12" t="s">
        <v>66</v>
      </c>
      <c r="Q48" s="5" t="s">
        <v>67</v>
      </c>
      <c r="R48" s="5" t="s">
        <v>67</v>
      </c>
      <c r="S48" s="5" t="s">
        <v>68</v>
      </c>
      <c r="T48" s="5" t="s">
        <v>68</v>
      </c>
      <c r="V48" s="5" t="s">
        <v>7</v>
      </c>
      <c r="W48" s="13" t="s">
        <v>6</v>
      </c>
    </row>
    <row r="49" spans="2:23" x14ac:dyDescent="0.2">
      <c r="B49" s="2"/>
      <c r="C49" s="2"/>
      <c r="D49" s="2"/>
      <c r="E49" s="2"/>
      <c r="F49" s="2"/>
      <c r="G49" s="5" t="s">
        <v>62</v>
      </c>
      <c r="H49" s="1" t="s">
        <v>83</v>
      </c>
      <c r="I49" s="2"/>
      <c r="J49" s="2"/>
      <c r="K49" s="5" t="s">
        <v>4</v>
      </c>
      <c r="L49" s="11" t="s">
        <v>66</v>
      </c>
      <c r="M49" s="5" t="s">
        <v>72</v>
      </c>
      <c r="N49" s="5" t="s">
        <v>72</v>
      </c>
      <c r="O49" s="5" t="s">
        <v>73</v>
      </c>
      <c r="P49" s="12" t="s">
        <v>71</v>
      </c>
      <c r="Q49" s="5" t="s">
        <v>72</v>
      </c>
      <c r="R49" s="5" t="s">
        <v>72</v>
      </c>
      <c r="S49" s="5" t="s">
        <v>74</v>
      </c>
      <c r="T49" s="5" t="s">
        <v>75</v>
      </c>
      <c r="W49" s="13"/>
    </row>
    <row r="50" spans="2:23" x14ac:dyDescent="0.2">
      <c r="B50" s="1" t="s">
        <v>1</v>
      </c>
      <c r="C50" s="1" t="s">
        <v>2</v>
      </c>
      <c r="D50" s="2"/>
      <c r="E50" s="2"/>
      <c r="F50" s="5" t="s">
        <v>69</v>
      </c>
      <c r="G50" s="5" t="s">
        <v>70</v>
      </c>
      <c r="H50" s="1" t="s">
        <v>82</v>
      </c>
      <c r="I50" s="1" t="s">
        <v>0</v>
      </c>
      <c r="J50" s="2"/>
      <c r="K50" s="5" t="s">
        <v>6</v>
      </c>
      <c r="L50" s="11" t="s">
        <v>71</v>
      </c>
      <c r="M50" s="5" t="s">
        <v>74</v>
      </c>
      <c r="N50" s="5" t="s">
        <v>75</v>
      </c>
      <c r="O50" s="2"/>
      <c r="P50" s="2"/>
      <c r="Q50" s="5" t="s">
        <v>74</v>
      </c>
      <c r="R50" s="5" t="s">
        <v>75</v>
      </c>
      <c r="S50" s="2"/>
      <c r="T50" s="2"/>
    </row>
    <row r="51" spans="2:23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23" x14ac:dyDescent="0.2">
      <c r="B52" s="1" t="s">
        <v>8</v>
      </c>
      <c r="C52" s="1" t="s">
        <v>9</v>
      </c>
      <c r="D52" s="2"/>
      <c r="E52" s="2"/>
      <c r="F52" s="10">
        <v>0.89897400000000005</v>
      </c>
      <c r="G52" s="7">
        <v>1476.55</v>
      </c>
      <c r="H52" s="7">
        <v>1426.17</v>
      </c>
      <c r="I52" s="10">
        <v>0.99390000000000001</v>
      </c>
      <c r="J52" s="2"/>
      <c r="K52" s="7">
        <f t="shared" ref="K52:K77" si="0">D7/100</f>
        <v>0</v>
      </c>
      <c r="L52" s="10">
        <f t="shared" ref="L52:L77" si="1">K52*F52</f>
        <v>0</v>
      </c>
      <c r="M52" s="2">
        <f t="shared" ref="M52:M77" si="2">K52*G52</f>
        <v>0</v>
      </c>
      <c r="N52" s="2">
        <f t="shared" ref="N52:N77" si="3">K52*H52</f>
        <v>0</v>
      </c>
      <c r="O52" s="10">
        <f t="shared" ref="O52:O62" si="4">1-(K52*(1-I52)^0.5)</f>
        <v>1</v>
      </c>
      <c r="P52" s="2">
        <f t="shared" ref="P52:P77" si="5">F52*0.997761/O52</f>
        <v>0.89696119721400003</v>
      </c>
      <c r="Q52" s="2">
        <f t="shared" ref="Q52:Q77" si="6">M52/O52</f>
        <v>0</v>
      </c>
      <c r="R52" s="5">
        <f t="shared" ref="R52:R77" si="7">N52/O52</f>
        <v>0</v>
      </c>
      <c r="S52" s="2">
        <f t="shared" ref="S52:S77" si="8">Q52/P52^0.5</f>
        <v>0</v>
      </c>
      <c r="T52" s="2">
        <f t="shared" ref="T52:T77" si="9">R52/P52^0.5</f>
        <v>0</v>
      </c>
      <c r="V52" s="8">
        <v>26.038239999999998</v>
      </c>
      <c r="W52">
        <f>K52*V52</f>
        <v>0</v>
      </c>
    </row>
    <row r="53" spans="2:23" x14ac:dyDescent="0.2">
      <c r="B53" s="1" t="s">
        <v>10</v>
      </c>
      <c r="C53" s="2"/>
      <c r="D53" s="2"/>
      <c r="E53" s="2"/>
      <c r="F53" s="10">
        <v>1</v>
      </c>
      <c r="G53" s="7">
        <v>0</v>
      </c>
      <c r="H53" s="7">
        <v>0</v>
      </c>
      <c r="I53" s="10">
        <v>0.999587</v>
      </c>
      <c r="J53" s="2"/>
      <c r="K53" s="7">
        <f t="shared" si="0"/>
        <v>0.8</v>
      </c>
      <c r="L53" s="10">
        <f t="shared" si="1"/>
        <v>0.8</v>
      </c>
      <c r="M53" s="2">
        <f t="shared" si="2"/>
        <v>0</v>
      </c>
      <c r="N53" s="2">
        <f t="shared" si="3"/>
        <v>0</v>
      </c>
      <c r="O53" s="10">
        <f t="shared" si="4"/>
        <v>0.98374207885367881</v>
      </c>
      <c r="P53" s="2">
        <f t="shared" si="5"/>
        <v>1.0142506063811532</v>
      </c>
      <c r="Q53" s="2">
        <f t="shared" si="6"/>
        <v>0</v>
      </c>
      <c r="R53" s="2">
        <f t="shared" si="7"/>
        <v>0</v>
      </c>
      <c r="S53" s="2">
        <f t="shared" si="8"/>
        <v>0</v>
      </c>
      <c r="T53" s="2">
        <f t="shared" si="9"/>
        <v>0</v>
      </c>
      <c r="V53" s="8">
        <v>28.964400000000001</v>
      </c>
      <c r="W53">
        <f t="shared" ref="W53:W77" si="10">K53*V53</f>
        <v>23.171520000000001</v>
      </c>
    </row>
    <row r="54" spans="2:23" x14ac:dyDescent="0.2">
      <c r="B54" s="1" t="s">
        <v>11</v>
      </c>
      <c r="C54" s="1" t="s">
        <v>12</v>
      </c>
      <c r="D54" s="2"/>
      <c r="E54" s="2"/>
      <c r="F54" s="10">
        <v>1.37921</v>
      </c>
      <c r="G54" s="7">
        <v>0</v>
      </c>
      <c r="H54" s="7">
        <v>0</v>
      </c>
      <c r="I54" s="10">
        <v>0.99924800000000003</v>
      </c>
      <c r="J54" s="2"/>
      <c r="K54" s="7">
        <f t="shared" si="0"/>
        <v>0</v>
      </c>
      <c r="L54" s="10">
        <f t="shared" si="1"/>
        <v>0</v>
      </c>
      <c r="M54" s="2">
        <f t="shared" si="2"/>
        <v>0</v>
      </c>
      <c r="N54" s="2">
        <f t="shared" si="3"/>
        <v>0</v>
      </c>
      <c r="O54" s="10">
        <f t="shared" si="4"/>
        <v>1</v>
      </c>
      <c r="P54" s="2">
        <f t="shared" si="5"/>
        <v>1.3761219488100001</v>
      </c>
      <c r="Q54" s="2">
        <f t="shared" si="6"/>
        <v>0</v>
      </c>
      <c r="R54" s="2">
        <f t="shared" si="7"/>
        <v>0</v>
      </c>
      <c r="S54" s="2">
        <f t="shared" si="8"/>
        <v>0</v>
      </c>
      <c r="T54" s="2">
        <f t="shared" si="9"/>
        <v>0</v>
      </c>
      <c r="V54" s="8">
        <v>39.948</v>
      </c>
      <c r="W54">
        <f t="shared" si="10"/>
        <v>0</v>
      </c>
    </row>
    <row r="55" spans="2:23" x14ac:dyDescent="0.2">
      <c r="B55" s="1" t="s">
        <v>13</v>
      </c>
      <c r="C55" s="1" t="s">
        <v>14</v>
      </c>
      <c r="D55" s="2"/>
      <c r="E55" s="2"/>
      <c r="F55" s="10">
        <v>2.6969219999999998</v>
      </c>
      <c r="G55" s="7">
        <v>3751.68</v>
      </c>
      <c r="H55" s="7">
        <v>3600.52</v>
      </c>
      <c r="I55" s="10">
        <v>0.92900000000000005</v>
      </c>
      <c r="J55" s="2"/>
      <c r="K55" s="7">
        <f t="shared" si="0"/>
        <v>0</v>
      </c>
      <c r="L55" s="10">
        <f t="shared" si="1"/>
        <v>0</v>
      </c>
      <c r="M55" s="2">
        <f t="shared" si="2"/>
        <v>0</v>
      </c>
      <c r="N55" s="2">
        <f t="shared" si="3"/>
        <v>0</v>
      </c>
      <c r="O55" s="10">
        <f t="shared" si="4"/>
        <v>1</v>
      </c>
      <c r="P55" s="2">
        <f t="shared" si="5"/>
        <v>2.6908835916419998</v>
      </c>
      <c r="Q55" s="2">
        <f t="shared" si="6"/>
        <v>0</v>
      </c>
      <c r="R55" s="2">
        <f t="shared" si="7"/>
        <v>0</v>
      </c>
      <c r="S55" s="2">
        <f t="shared" si="8"/>
        <v>0</v>
      </c>
      <c r="T55" s="2">
        <f t="shared" si="9"/>
        <v>0</v>
      </c>
      <c r="V55" s="8">
        <v>78.114720000000005</v>
      </c>
      <c r="W55">
        <f t="shared" si="10"/>
        <v>0</v>
      </c>
    </row>
    <row r="56" spans="2:23" x14ac:dyDescent="0.2">
      <c r="B56" s="1" t="s">
        <v>17</v>
      </c>
      <c r="C56" s="1" t="s">
        <v>18</v>
      </c>
      <c r="D56" s="2"/>
      <c r="E56" s="2"/>
      <c r="F56" s="10">
        <v>1.937149</v>
      </c>
      <c r="G56" s="7">
        <v>3079</v>
      </c>
      <c r="H56" s="7">
        <v>2877</v>
      </c>
      <c r="I56" s="10">
        <v>0.97040000000000004</v>
      </c>
      <c r="J56" s="2"/>
      <c r="K56" s="7">
        <f t="shared" si="0"/>
        <v>0</v>
      </c>
      <c r="L56" s="10">
        <f t="shared" si="1"/>
        <v>0</v>
      </c>
      <c r="M56" s="2">
        <f t="shared" si="2"/>
        <v>0</v>
      </c>
      <c r="N56" s="2">
        <f t="shared" si="3"/>
        <v>0</v>
      </c>
      <c r="O56" s="10">
        <f t="shared" si="4"/>
        <v>1</v>
      </c>
      <c r="P56" s="2">
        <f t="shared" si="5"/>
        <v>1.9328117233890001</v>
      </c>
      <c r="Q56" s="2">
        <f t="shared" si="6"/>
        <v>0</v>
      </c>
      <c r="R56" s="2">
        <f t="shared" si="7"/>
        <v>0</v>
      </c>
      <c r="S56" s="2">
        <f t="shared" si="8"/>
        <v>0</v>
      </c>
      <c r="T56" s="2">
        <f t="shared" si="9"/>
        <v>0</v>
      </c>
      <c r="V56" s="8">
        <v>56.108359999999998</v>
      </c>
      <c r="W56">
        <f t="shared" si="10"/>
        <v>0</v>
      </c>
    </row>
    <row r="57" spans="2:23" x14ac:dyDescent="0.2">
      <c r="B57" s="1" t="s">
        <v>20</v>
      </c>
      <c r="C57" s="1" t="s">
        <v>21</v>
      </c>
      <c r="D57" s="2"/>
      <c r="E57" s="2"/>
      <c r="F57" s="10">
        <v>1.51945</v>
      </c>
      <c r="G57" s="7">
        <v>0</v>
      </c>
      <c r="H57" s="7">
        <v>0</v>
      </c>
      <c r="I57" s="10">
        <v>0.99430700000000005</v>
      </c>
      <c r="J57" s="2"/>
      <c r="K57" s="7">
        <f t="shared" si="0"/>
        <v>0</v>
      </c>
      <c r="L57" s="10">
        <f t="shared" si="1"/>
        <v>0</v>
      </c>
      <c r="M57" s="2">
        <f t="shared" si="2"/>
        <v>0</v>
      </c>
      <c r="N57" s="2">
        <f t="shared" si="3"/>
        <v>0</v>
      </c>
      <c r="O57" s="10">
        <f t="shared" si="4"/>
        <v>1</v>
      </c>
      <c r="P57" s="2">
        <f t="shared" si="5"/>
        <v>1.51604795145</v>
      </c>
      <c r="Q57" s="2">
        <f t="shared" si="6"/>
        <v>0</v>
      </c>
      <c r="R57" s="2">
        <f t="shared" si="7"/>
        <v>0</v>
      </c>
      <c r="S57" s="2">
        <f t="shared" si="8"/>
        <v>0</v>
      </c>
      <c r="T57" s="2">
        <f t="shared" si="9"/>
        <v>0</v>
      </c>
      <c r="V57" s="8">
        <v>44.009950000000003</v>
      </c>
      <c r="W57">
        <f t="shared" si="10"/>
        <v>0</v>
      </c>
    </row>
    <row r="58" spans="2:23" x14ac:dyDescent="0.2">
      <c r="B58" s="1" t="s">
        <v>22</v>
      </c>
      <c r="C58" s="1" t="s">
        <v>23</v>
      </c>
      <c r="D58" s="2"/>
      <c r="E58" s="2"/>
      <c r="F58" s="10">
        <v>0.96706800000000004</v>
      </c>
      <c r="G58" s="7">
        <v>321.37</v>
      </c>
      <c r="H58" s="7">
        <v>321.37</v>
      </c>
      <c r="I58" s="10">
        <v>0.999529</v>
      </c>
      <c r="J58" s="2"/>
      <c r="K58" s="7">
        <f t="shared" si="0"/>
        <v>0</v>
      </c>
      <c r="L58" s="10">
        <f t="shared" si="1"/>
        <v>0</v>
      </c>
      <c r="M58" s="2">
        <f t="shared" si="2"/>
        <v>0</v>
      </c>
      <c r="N58" s="2">
        <f t="shared" si="3"/>
        <v>0</v>
      </c>
      <c r="O58" s="10">
        <f t="shared" si="4"/>
        <v>1</v>
      </c>
      <c r="P58" s="2">
        <f t="shared" si="5"/>
        <v>0.96490273474800003</v>
      </c>
      <c r="Q58" s="2">
        <f t="shared" si="6"/>
        <v>0</v>
      </c>
      <c r="R58" s="2">
        <f t="shared" si="7"/>
        <v>0</v>
      </c>
      <c r="S58" s="2">
        <f t="shared" si="8"/>
        <v>0</v>
      </c>
      <c r="T58" s="2">
        <f t="shared" si="9"/>
        <v>0</v>
      </c>
      <c r="V58" s="8">
        <v>28.010549999999999</v>
      </c>
      <c r="W58">
        <f t="shared" si="10"/>
        <v>0</v>
      </c>
    </row>
    <row r="59" spans="2:23" x14ac:dyDescent="0.2">
      <c r="B59" s="1" t="s">
        <v>25</v>
      </c>
      <c r="C59" s="1" t="s">
        <v>26</v>
      </c>
      <c r="D59" s="2"/>
      <c r="E59" s="2"/>
      <c r="F59" s="10">
        <v>1.0381750000000001</v>
      </c>
      <c r="G59" s="7">
        <v>1773.42</v>
      </c>
      <c r="H59" s="7">
        <v>1622.1</v>
      </c>
      <c r="I59" s="10">
        <v>0.99158100000000005</v>
      </c>
      <c r="J59" s="2"/>
      <c r="K59" s="7">
        <f t="shared" si="0"/>
        <v>0</v>
      </c>
      <c r="L59" s="10">
        <f t="shared" si="1"/>
        <v>0</v>
      </c>
      <c r="M59" s="2">
        <f t="shared" si="2"/>
        <v>0</v>
      </c>
      <c r="N59" s="2">
        <f t="shared" si="3"/>
        <v>0</v>
      </c>
      <c r="O59" s="10">
        <f t="shared" si="4"/>
        <v>1</v>
      </c>
      <c r="P59" s="2">
        <f t="shared" si="5"/>
        <v>1.0358505261750002</v>
      </c>
      <c r="Q59" s="2">
        <f t="shared" si="6"/>
        <v>0</v>
      </c>
      <c r="R59" s="2">
        <f t="shared" si="7"/>
        <v>0</v>
      </c>
      <c r="S59" s="2">
        <f t="shared" si="8"/>
        <v>0</v>
      </c>
      <c r="T59" s="2">
        <f t="shared" si="9"/>
        <v>0</v>
      </c>
      <c r="V59" s="8">
        <v>30.070119999999999</v>
      </c>
      <c r="W59">
        <f t="shared" si="10"/>
        <v>0</v>
      </c>
    </row>
    <row r="60" spans="2:23" x14ac:dyDescent="0.2">
      <c r="B60" s="1" t="s">
        <v>27</v>
      </c>
      <c r="C60" s="1" t="s">
        <v>28</v>
      </c>
      <c r="D60" s="2"/>
      <c r="E60" s="2"/>
      <c r="F60" s="10">
        <v>0.96857499999999996</v>
      </c>
      <c r="G60" s="7">
        <v>1603.75</v>
      </c>
      <c r="H60" s="7">
        <v>1502.87</v>
      </c>
      <c r="I60" s="10">
        <v>0.99399999999999999</v>
      </c>
      <c r="J60" s="2"/>
      <c r="K60" s="7">
        <f t="shared" si="0"/>
        <v>0.2</v>
      </c>
      <c r="L60" s="10">
        <f t="shared" si="1"/>
        <v>0.193715</v>
      </c>
      <c r="M60" s="2">
        <f t="shared" si="2"/>
        <v>320.75</v>
      </c>
      <c r="N60" s="2">
        <f t="shared" si="3"/>
        <v>300.57400000000001</v>
      </c>
      <c r="O60" s="10">
        <f t="shared" si="4"/>
        <v>0.98450806661517032</v>
      </c>
      <c r="P60" s="2">
        <f t="shared" si="5"/>
        <v>0.98161345076388684</v>
      </c>
      <c r="Q60" s="2">
        <f t="shared" si="6"/>
        <v>325.79722896813649</v>
      </c>
      <c r="R60" s="2">
        <f t="shared" si="7"/>
        <v>305.30374528407998</v>
      </c>
      <c r="S60" s="2">
        <f t="shared" si="8"/>
        <v>328.83431832630208</v>
      </c>
      <c r="T60" s="2">
        <f t="shared" si="9"/>
        <v>308.1497939099296</v>
      </c>
      <c r="V60" s="8">
        <v>28.054179999999999</v>
      </c>
      <c r="W60">
        <f t="shared" si="10"/>
        <v>5.6108359999999999</v>
      </c>
    </row>
    <row r="61" spans="2:23" x14ac:dyDescent="0.2">
      <c r="B61" s="1" t="s">
        <v>30</v>
      </c>
      <c r="C61" s="1" t="s">
        <v>31</v>
      </c>
      <c r="D61" s="2"/>
      <c r="E61" s="2"/>
      <c r="F61" s="10">
        <v>0.13819000000000001</v>
      </c>
      <c r="G61" s="7">
        <v>0</v>
      </c>
      <c r="H61" s="7">
        <v>0</v>
      </c>
      <c r="I61" s="10">
        <v>1</v>
      </c>
      <c r="J61" s="2"/>
      <c r="K61" s="7">
        <f t="shared" si="0"/>
        <v>0</v>
      </c>
      <c r="L61" s="10">
        <f t="shared" si="1"/>
        <v>0</v>
      </c>
      <c r="M61" s="2">
        <f t="shared" si="2"/>
        <v>0</v>
      </c>
      <c r="N61" s="2">
        <f t="shared" si="3"/>
        <v>0</v>
      </c>
      <c r="O61" s="10">
        <f t="shared" si="4"/>
        <v>1</v>
      </c>
      <c r="P61" s="2">
        <f t="shared" si="5"/>
        <v>0.13788059259000002</v>
      </c>
      <c r="Q61" s="2">
        <f t="shared" si="6"/>
        <v>0</v>
      </c>
      <c r="R61" s="2">
        <f t="shared" si="7"/>
        <v>0</v>
      </c>
      <c r="S61" s="2">
        <f t="shared" si="8"/>
        <v>0</v>
      </c>
      <c r="T61" s="2">
        <f t="shared" si="9"/>
        <v>0</v>
      </c>
      <c r="V61" s="8">
        <v>4.0026000000000002</v>
      </c>
      <c r="W61">
        <f t="shared" si="10"/>
        <v>0</v>
      </c>
    </row>
    <row r="62" spans="2:23" x14ac:dyDescent="0.2">
      <c r="B62" s="1" t="s">
        <v>33</v>
      </c>
      <c r="C62" s="1" t="s">
        <v>34</v>
      </c>
      <c r="D62" s="2"/>
      <c r="E62" s="2"/>
      <c r="F62" s="10">
        <v>2.9753240000000001</v>
      </c>
      <c r="G62" s="7">
        <v>4759</v>
      </c>
      <c r="H62" s="7">
        <v>4406</v>
      </c>
      <c r="I62" s="10">
        <v>0.92</v>
      </c>
      <c r="J62" s="2"/>
      <c r="K62" s="7">
        <f t="shared" si="0"/>
        <v>0</v>
      </c>
      <c r="L62" s="10">
        <f t="shared" si="1"/>
        <v>0</v>
      </c>
      <c r="M62" s="2">
        <f t="shared" si="2"/>
        <v>0</v>
      </c>
      <c r="N62" s="2">
        <f t="shared" si="3"/>
        <v>0</v>
      </c>
      <c r="O62" s="10">
        <f t="shared" si="4"/>
        <v>1</v>
      </c>
      <c r="P62" s="2">
        <f t="shared" si="5"/>
        <v>2.9686622495640003</v>
      </c>
      <c r="Q62" s="2">
        <f t="shared" si="6"/>
        <v>0</v>
      </c>
      <c r="R62" s="2">
        <f t="shared" si="7"/>
        <v>0</v>
      </c>
      <c r="S62" s="2">
        <f t="shared" si="8"/>
        <v>0</v>
      </c>
      <c r="T62" s="2">
        <f t="shared" si="9"/>
        <v>0</v>
      </c>
      <c r="V62" s="8">
        <v>86.178479999999993</v>
      </c>
      <c r="W62">
        <f t="shared" si="10"/>
        <v>0</v>
      </c>
    </row>
    <row r="63" spans="2:23" x14ac:dyDescent="0.2">
      <c r="B63" s="1" t="s">
        <v>35</v>
      </c>
      <c r="C63" s="1" t="s">
        <v>36</v>
      </c>
      <c r="D63" s="2"/>
      <c r="E63" s="2"/>
      <c r="F63" s="10">
        <v>6.9600999999999996E-2</v>
      </c>
      <c r="G63" s="7">
        <v>325.02</v>
      </c>
      <c r="H63" s="7">
        <v>274.58</v>
      </c>
      <c r="I63" s="10">
        <v>1.000602</v>
      </c>
      <c r="J63" s="2"/>
      <c r="K63" s="7">
        <f t="shared" si="0"/>
        <v>0</v>
      </c>
      <c r="L63" s="10">
        <f t="shared" si="1"/>
        <v>0</v>
      </c>
      <c r="M63" s="2">
        <f t="shared" si="2"/>
        <v>0</v>
      </c>
      <c r="N63" s="2">
        <f t="shared" si="3"/>
        <v>0</v>
      </c>
      <c r="O63" s="10">
        <f>1+(2*$K$63-$K$63^2)*0.0005</f>
        <v>1</v>
      </c>
      <c r="P63" s="2">
        <f t="shared" si="5"/>
        <v>6.9445163360999998E-2</v>
      </c>
      <c r="Q63" s="2">
        <f t="shared" si="6"/>
        <v>0</v>
      </c>
      <c r="R63" s="2">
        <f t="shared" si="7"/>
        <v>0</v>
      </c>
      <c r="S63" s="2">
        <f t="shared" si="8"/>
        <v>0</v>
      </c>
      <c r="T63" s="2">
        <f t="shared" si="9"/>
        <v>0</v>
      </c>
      <c r="V63" s="8">
        <v>2.0159400000000001</v>
      </c>
      <c r="W63">
        <f t="shared" si="10"/>
        <v>0</v>
      </c>
    </row>
    <row r="64" spans="2:23" x14ac:dyDescent="0.2">
      <c r="B64" s="1" t="s">
        <v>37</v>
      </c>
      <c r="C64" s="1" t="s">
        <v>38</v>
      </c>
      <c r="D64" s="2"/>
      <c r="E64" s="2"/>
      <c r="F64" s="10">
        <v>1.176615</v>
      </c>
      <c r="G64" s="7">
        <v>640.79999999999995</v>
      </c>
      <c r="H64" s="7">
        <v>589.4</v>
      </c>
      <c r="I64" s="10">
        <v>0.999274</v>
      </c>
      <c r="J64" s="2"/>
      <c r="K64" s="7">
        <f t="shared" si="0"/>
        <v>0</v>
      </c>
      <c r="L64" s="10">
        <f t="shared" si="1"/>
        <v>0</v>
      </c>
      <c r="M64" s="2">
        <f t="shared" si="2"/>
        <v>0</v>
      </c>
      <c r="N64" s="2">
        <f t="shared" si="3"/>
        <v>0</v>
      </c>
      <c r="O64" s="10">
        <f t="shared" ref="O64:O77" si="11">1-(K64*(1-I64)^0.5)</f>
        <v>1</v>
      </c>
      <c r="P64" s="2">
        <f t="shared" si="5"/>
        <v>1.1739805590149999</v>
      </c>
      <c r="Q64" s="2">
        <f t="shared" si="6"/>
        <v>0</v>
      </c>
      <c r="R64" s="2">
        <f t="shared" si="7"/>
        <v>0</v>
      </c>
      <c r="S64" s="2">
        <f t="shared" si="8"/>
        <v>0</v>
      </c>
      <c r="T64" s="2">
        <f t="shared" si="9"/>
        <v>0</v>
      </c>
      <c r="V64" s="8">
        <v>24.079940000000001</v>
      </c>
      <c r="W64">
        <f t="shared" si="10"/>
        <v>0</v>
      </c>
    </row>
    <row r="65" spans="2:23" x14ac:dyDescent="0.2">
      <c r="B65" s="1" t="s">
        <v>39</v>
      </c>
      <c r="C65" s="1" t="s">
        <v>40</v>
      </c>
      <c r="D65" s="2"/>
      <c r="E65" s="2"/>
      <c r="F65" s="10">
        <v>2.0067499999999998</v>
      </c>
      <c r="G65" s="7">
        <v>3261.17</v>
      </c>
      <c r="H65" s="7">
        <v>3008.96</v>
      </c>
      <c r="I65" s="10">
        <v>0.97023099999999995</v>
      </c>
      <c r="J65" s="2"/>
      <c r="K65" s="7">
        <f t="shared" si="0"/>
        <v>0</v>
      </c>
      <c r="L65" s="10">
        <f t="shared" si="1"/>
        <v>0</v>
      </c>
      <c r="M65" s="2">
        <f t="shared" si="2"/>
        <v>0</v>
      </c>
      <c r="N65" s="2">
        <f t="shared" si="3"/>
        <v>0</v>
      </c>
      <c r="O65" s="10">
        <f t="shared" si="11"/>
        <v>1</v>
      </c>
      <c r="P65" s="2">
        <f t="shared" si="5"/>
        <v>2.0022568867499997</v>
      </c>
      <c r="Q65" s="2">
        <f t="shared" si="6"/>
        <v>0</v>
      </c>
      <c r="R65" s="2">
        <f t="shared" si="7"/>
        <v>0</v>
      </c>
      <c r="S65" s="2">
        <f t="shared" si="8"/>
        <v>0</v>
      </c>
      <c r="T65" s="2">
        <f t="shared" si="9"/>
        <v>0</v>
      </c>
      <c r="V65" s="8">
        <v>58.124299999999998</v>
      </c>
      <c r="W65">
        <f t="shared" si="10"/>
        <v>0</v>
      </c>
    </row>
    <row r="66" spans="2:23" x14ac:dyDescent="0.2">
      <c r="B66" s="1" t="s">
        <v>41</v>
      </c>
      <c r="C66" s="1" t="s">
        <v>42</v>
      </c>
      <c r="D66" s="2"/>
      <c r="E66" s="14"/>
      <c r="F66" s="10">
        <v>2.4910369999999999</v>
      </c>
      <c r="G66" s="7">
        <v>4010.71</v>
      </c>
      <c r="H66" s="7">
        <v>3708.01</v>
      </c>
      <c r="I66" s="10">
        <v>0.94820000000000004</v>
      </c>
      <c r="J66" s="2"/>
      <c r="K66" s="7">
        <f t="shared" si="0"/>
        <v>0</v>
      </c>
      <c r="L66" s="10">
        <f t="shared" si="1"/>
        <v>0</v>
      </c>
      <c r="M66" s="2">
        <f t="shared" si="2"/>
        <v>0</v>
      </c>
      <c r="N66" s="2">
        <f t="shared" si="3"/>
        <v>0</v>
      </c>
      <c r="O66" s="10">
        <f t="shared" si="11"/>
        <v>1</v>
      </c>
      <c r="P66" s="2">
        <f t="shared" si="5"/>
        <v>2.4854595681569998</v>
      </c>
      <c r="Q66" s="2">
        <f t="shared" si="6"/>
        <v>0</v>
      </c>
      <c r="R66" s="2">
        <f t="shared" si="7"/>
        <v>0</v>
      </c>
      <c r="S66" s="2">
        <f t="shared" si="8"/>
        <v>0</v>
      </c>
      <c r="T66" s="2">
        <f t="shared" si="9"/>
        <v>0</v>
      </c>
      <c r="V66" s="8">
        <v>72.151390000000006</v>
      </c>
      <c r="W66">
        <f t="shared" si="10"/>
        <v>0</v>
      </c>
    </row>
    <row r="67" spans="2:23" x14ac:dyDescent="0.2">
      <c r="B67" s="1" t="s">
        <v>43</v>
      </c>
      <c r="C67" s="1" t="s">
        <v>44</v>
      </c>
      <c r="D67" s="2"/>
      <c r="E67" s="2"/>
      <c r="F67" s="10">
        <v>0.55388800000000005</v>
      </c>
      <c r="G67" s="7">
        <v>1012.32</v>
      </c>
      <c r="H67" s="7">
        <v>911.45</v>
      </c>
      <c r="I67" s="10">
        <v>0.99809599999999998</v>
      </c>
      <c r="J67" s="2"/>
      <c r="K67" s="7">
        <f t="shared" si="0"/>
        <v>0</v>
      </c>
      <c r="L67" s="10">
        <f t="shared" si="1"/>
        <v>0</v>
      </c>
      <c r="M67" s="2">
        <f t="shared" si="2"/>
        <v>0</v>
      </c>
      <c r="N67" s="2">
        <f t="shared" si="3"/>
        <v>0</v>
      </c>
      <c r="O67" s="10">
        <f t="shared" si="11"/>
        <v>1</v>
      </c>
      <c r="P67" s="2">
        <f t="shared" si="5"/>
        <v>0.55264784476800011</v>
      </c>
      <c r="Q67" s="2">
        <f t="shared" si="6"/>
        <v>0</v>
      </c>
      <c r="R67" s="2">
        <f t="shared" si="7"/>
        <v>0</v>
      </c>
      <c r="S67" s="2">
        <f t="shared" si="8"/>
        <v>0</v>
      </c>
      <c r="T67" s="2">
        <f t="shared" si="9"/>
        <v>0</v>
      </c>
      <c r="V67" s="8">
        <v>16.043030000000002</v>
      </c>
      <c r="W67">
        <f t="shared" si="10"/>
        <v>0</v>
      </c>
    </row>
    <row r="68" spans="2:23" x14ac:dyDescent="0.2">
      <c r="B68" s="1" t="s">
        <v>45</v>
      </c>
      <c r="C68" s="1" t="s">
        <v>40</v>
      </c>
      <c r="D68" s="2"/>
      <c r="E68" s="2"/>
      <c r="F68" s="10">
        <v>2.0067499999999998</v>
      </c>
      <c r="G68" s="7">
        <v>3270.69</v>
      </c>
      <c r="H68" s="7">
        <v>3018.48</v>
      </c>
      <c r="I68" s="10">
        <v>0.96662300000000001</v>
      </c>
      <c r="J68" s="2"/>
      <c r="K68" s="7">
        <f t="shared" si="0"/>
        <v>0</v>
      </c>
      <c r="L68" s="10">
        <f t="shared" si="1"/>
        <v>0</v>
      </c>
      <c r="M68" s="2">
        <f t="shared" si="2"/>
        <v>0</v>
      </c>
      <c r="N68" s="2">
        <f t="shared" si="3"/>
        <v>0</v>
      </c>
      <c r="O68" s="10">
        <f t="shared" si="11"/>
        <v>1</v>
      </c>
      <c r="P68" s="2">
        <f t="shared" si="5"/>
        <v>2.0022568867499997</v>
      </c>
      <c r="Q68" s="2">
        <f t="shared" si="6"/>
        <v>0</v>
      </c>
      <c r="R68" s="2">
        <f t="shared" si="7"/>
        <v>0</v>
      </c>
      <c r="S68" s="2">
        <f t="shared" si="8"/>
        <v>0</v>
      </c>
      <c r="T68" s="2">
        <f t="shared" si="9"/>
        <v>0</v>
      </c>
      <c r="V68" s="8">
        <v>58.124299999999998</v>
      </c>
      <c r="W68">
        <f t="shared" si="10"/>
        <v>0</v>
      </c>
    </row>
    <row r="69" spans="2:23" x14ac:dyDescent="0.2">
      <c r="B69" s="1" t="s">
        <v>46</v>
      </c>
      <c r="C69" s="1" t="s">
        <v>42</v>
      </c>
      <c r="D69" s="2"/>
      <c r="E69" s="2"/>
      <c r="F69" s="10">
        <v>2.4910369999999999</v>
      </c>
      <c r="G69" s="7">
        <v>4019.65</v>
      </c>
      <c r="H69" s="7">
        <v>3717.15</v>
      </c>
      <c r="I69" s="10">
        <v>0.94350000000000001</v>
      </c>
      <c r="J69" s="2"/>
      <c r="K69" s="7">
        <f t="shared" si="0"/>
        <v>0</v>
      </c>
      <c r="L69" s="10">
        <f t="shared" si="1"/>
        <v>0</v>
      </c>
      <c r="M69" s="2">
        <f t="shared" si="2"/>
        <v>0</v>
      </c>
      <c r="N69" s="2">
        <f t="shared" si="3"/>
        <v>0</v>
      </c>
      <c r="O69" s="10">
        <f t="shared" si="11"/>
        <v>1</v>
      </c>
      <c r="P69" s="2">
        <f t="shared" si="5"/>
        <v>2.4854595681569998</v>
      </c>
      <c r="Q69" s="2">
        <f t="shared" si="6"/>
        <v>0</v>
      </c>
      <c r="R69" s="2">
        <f t="shared" si="7"/>
        <v>0</v>
      </c>
      <c r="S69" s="2">
        <f t="shared" si="8"/>
        <v>0</v>
      </c>
      <c r="T69" s="2">
        <f t="shared" si="9"/>
        <v>0</v>
      </c>
      <c r="V69" s="8">
        <v>72.151390000000006</v>
      </c>
      <c r="W69">
        <f t="shared" si="10"/>
        <v>0</v>
      </c>
    </row>
    <row r="70" spans="2:23" x14ac:dyDescent="0.2">
      <c r="B70" s="1" t="s">
        <v>47</v>
      </c>
      <c r="C70" s="1" t="s">
        <v>42</v>
      </c>
      <c r="D70" s="2"/>
      <c r="E70" s="2"/>
      <c r="F70" s="10">
        <v>2.4910369999999999</v>
      </c>
      <c r="G70" s="7">
        <v>3994</v>
      </c>
      <c r="H70" s="7">
        <v>3693</v>
      </c>
      <c r="I70" s="10">
        <v>0.94584999999999997</v>
      </c>
      <c r="J70" s="2"/>
      <c r="K70" s="7">
        <f t="shared" si="0"/>
        <v>0</v>
      </c>
      <c r="L70" s="10">
        <f t="shared" si="1"/>
        <v>0</v>
      </c>
      <c r="M70" s="2">
        <f t="shared" si="2"/>
        <v>0</v>
      </c>
      <c r="N70" s="2">
        <f t="shared" si="3"/>
        <v>0</v>
      </c>
      <c r="O70" s="10">
        <f t="shared" si="11"/>
        <v>1</v>
      </c>
      <c r="P70" s="2">
        <f t="shared" si="5"/>
        <v>2.4854595681569998</v>
      </c>
      <c r="Q70" s="2">
        <f t="shared" si="6"/>
        <v>0</v>
      </c>
      <c r="R70" s="2">
        <f t="shared" si="7"/>
        <v>0</v>
      </c>
      <c r="S70" s="2">
        <f t="shared" si="8"/>
        <v>0</v>
      </c>
      <c r="T70" s="2">
        <f t="shared" si="9"/>
        <v>0</v>
      </c>
      <c r="V70" s="8">
        <v>72.151390000000006</v>
      </c>
      <c r="W70">
        <f t="shared" si="10"/>
        <v>0</v>
      </c>
    </row>
    <row r="71" spans="2:23" x14ac:dyDescent="0.2">
      <c r="B71" s="1" t="s">
        <v>48</v>
      </c>
      <c r="C71" s="1" t="s">
        <v>49</v>
      </c>
      <c r="D71" s="2"/>
      <c r="E71" s="2"/>
      <c r="F71" s="10">
        <v>0.967167</v>
      </c>
      <c r="G71" s="7">
        <v>0</v>
      </c>
      <c r="H71" s="7">
        <v>0</v>
      </c>
      <c r="I71" s="10">
        <v>0.99971900000000002</v>
      </c>
      <c r="J71" s="2"/>
      <c r="K71" s="7">
        <f t="shared" si="0"/>
        <v>0</v>
      </c>
      <c r="L71" s="10">
        <f t="shared" si="1"/>
        <v>0</v>
      </c>
      <c r="M71" s="2">
        <f t="shared" si="2"/>
        <v>0</v>
      </c>
      <c r="N71" s="2">
        <f t="shared" si="3"/>
        <v>0</v>
      </c>
      <c r="O71" s="10">
        <f t="shared" si="11"/>
        <v>1</v>
      </c>
      <c r="P71" s="2">
        <f t="shared" si="5"/>
        <v>0.965001513087</v>
      </c>
      <c r="Q71" s="2">
        <f t="shared" si="6"/>
        <v>0</v>
      </c>
      <c r="R71" s="2">
        <f t="shared" si="7"/>
        <v>0</v>
      </c>
      <c r="S71" s="2">
        <f t="shared" si="8"/>
        <v>0</v>
      </c>
      <c r="T71" s="2">
        <f t="shared" si="9"/>
        <v>0</v>
      </c>
      <c r="V71" s="8">
        <v>28.013400000000001</v>
      </c>
      <c r="W71">
        <f t="shared" si="10"/>
        <v>0</v>
      </c>
    </row>
    <row r="72" spans="2:23" x14ac:dyDescent="0.2">
      <c r="B72" s="1" t="s">
        <v>50</v>
      </c>
      <c r="C72" s="1" t="s">
        <v>51</v>
      </c>
      <c r="D72" s="2"/>
      <c r="E72" s="2"/>
      <c r="F72" s="10">
        <v>1.1047629999999999</v>
      </c>
      <c r="G72" s="7">
        <v>0</v>
      </c>
      <c r="H72" s="7">
        <v>0</v>
      </c>
      <c r="I72" s="10">
        <v>0.99926800000000005</v>
      </c>
      <c r="J72" s="2"/>
      <c r="K72" s="7">
        <f t="shared" si="0"/>
        <v>0</v>
      </c>
      <c r="L72" s="10">
        <f t="shared" si="1"/>
        <v>0</v>
      </c>
      <c r="M72" s="2">
        <f t="shared" si="2"/>
        <v>0</v>
      </c>
      <c r="N72" s="2">
        <f t="shared" si="3"/>
        <v>0</v>
      </c>
      <c r="O72" s="10">
        <f t="shared" si="11"/>
        <v>1</v>
      </c>
      <c r="P72" s="2">
        <f t="shared" si="5"/>
        <v>1.102289435643</v>
      </c>
      <c r="Q72" s="2">
        <f t="shared" si="6"/>
        <v>0</v>
      </c>
      <c r="R72" s="2">
        <f t="shared" si="7"/>
        <v>0</v>
      </c>
      <c r="S72" s="2">
        <f t="shared" si="8"/>
        <v>0</v>
      </c>
      <c r="T72" s="2">
        <f t="shared" si="9"/>
        <v>0</v>
      </c>
      <c r="V72" s="8">
        <v>31.998799999999999</v>
      </c>
      <c r="W72">
        <f t="shared" si="10"/>
        <v>0</v>
      </c>
    </row>
    <row r="73" spans="2:23" x14ac:dyDescent="0.2">
      <c r="B73" s="1" t="s">
        <v>103</v>
      </c>
      <c r="C73" s="1" t="s">
        <v>52</v>
      </c>
      <c r="D73" s="2"/>
      <c r="E73" s="2"/>
      <c r="F73" s="10">
        <v>2.4214359999999999</v>
      </c>
      <c r="G73" s="7">
        <v>3825</v>
      </c>
      <c r="H73" s="7">
        <v>3573</v>
      </c>
      <c r="I73" s="10">
        <v>0.94699999999999995</v>
      </c>
      <c r="J73" s="2"/>
      <c r="K73" s="7">
        <f t="shared" si="0"/>
        <v>0</v>
      </c>
      <c r="L73" s="10">
        <f t="shared" si="1"/>
        <v>0</v>
      </c>
      <c r="M73" s="2">
        <f t="shared" si="2"/>
        <v>0</v>
      </c>
      <c r="N73" s="2">
        <f t="shared" si="3"/>
        <v>0</v>
      </c>
      <c r="O73" s="10">
        <f t="shared" si="11"/>
        <v>1</v>
      </c>
      <c r="P73" s="2">
        <f t="shared" si="5"/>
        <v>2.4160144047959999</v>
      </c>
      <c r="Q73" s="2">
        <f t="shared" si="6"/>
        <v>0</v>
      </c>
      <c r="R73" s="2">
        <f t="shared" si="7"/>
        <v>0</v>
      </c>
      <c r="S73" s="2">
        <f t="shared" si="8"/>
        <v>0</v>
      </c>
      <c r="T73" s="2">
        <f t="shared" si="9"/>
        <v>0</v>
      </c>
      <c r="V73" s="8">
        <v>70.135450000000006</v>
      </c>
      <c r="W73">
        <f t="shared" si="10"/>
        <v>0</v>
      </c>
    </row>
    <row r="74" spans="2:23" x14ac:dyDescent="0.2">
      <c r="B74" s="1" t="s">
        <v>53</v>
      </c>
      <c r="C74" s="1" t="s">
        <v>54</v>
      </c>
      <c r="D74" s="2"/>
      <c r="E74" s="2" t="s">
        <v>99</v>
      </c>
      <c r="F74" s="10">
        <v>1.522462</v>
      </c>
      <c r="G74" s="7">
        <v>2523.8200000000002</v>
      </c>
      <c r="H74" s="7">
        <v>2322.0100000000002</v>
      </c>
      <c r="I74" s="10">
        <v>0.981958</v>
      </c>
      <c r="J74" s="2"/>
      <c r="K74" s="7">
        <f t="shared" si="0"/>
        <v>0</v>
      </c>
      <c r="L74" s="10">
        <f t="shared" si="1"/>
        <v>0</v>
      </c>
      <c r="M74" s="2">
        <f t="shared" si="2"/>
        <v>0</v>
      </c>
      <c r="N74" s="2">
        <f t="shared" si="3"/>
        <v>0</v>
      </c>
      <c r="O74" s="10">
        <f t="shared" si="11"/>
        <v>1</v>
      </c>
      <c r="P74" s="2">
        <f t="shared" si="5"/>
        <v>1.519053207582</v>
      </c>
      <c r="Q74" s="2">
        <f t="shared" si="6"/>
        <v>0</v>
      </c>
      <c r="R74" s="2">
        <f t="shared" si="7"/>
        <v>0</v>
      </c>
      <c r="S74" s="2">
        <f t="shared" si="8"/>
        <v>0</v>
      </c>
      <c r="T74" s="2">
        <f t="shared" si="9"/>
        <v>0</v>
      </c>
      <c r="V74" s="8">
        <v>44.097209999999997</v>
      </c>
      <c r="W74">
        <f t="shared" si="10"/>
        <v>0</v>
      </c>
    </row>
    <row r="75" spans="2:23" x14ac:dyDescent="0.2">
      <c r="B75" s="1" t="s">
        <v>55</v>
      </c>
      <c r="C75" s="1" t="s">
        <v>56</v>
      </c>
      <c r="D75" s="2"/>
      <c r="E75" s="2"/>
      <c r="F75" s="10">
        <v>1.4528620000000001</v>
      </c>
      <c r="G75" s="7">
        <v>2339.6999999999998</v>
      </c>
      <c r="H75" s="7">
        <v>2188.4</v>
      </c>
      <c r="I75" s="10">
        <v>0.9839</v>
      </c>
      <c r="J75" s="2"/>
      <c r="K75" s="7">
        <f t="shared" si="0"/>
        <v>0</v>
      </c>
      <c r="L75" s="10">
        <f t="shared" si="1"/>
        <v>0</v>
      </c>
      <c r="M75" s="2">
        <f t="shared" si="2"/>
        <v>0</v>
      </c>
      <c r="N75" s="2">
        <f t="shared" si="3"/>
        <v>0</v>
      </c>
      <c r="O75" s="10">
        <f t="shared" si="11"/>
        <v>1</v>
      </c>
      <c r="P75" s="2">
        <f t="shared" si="5"/>
        <v>1.449609041982</v>
      </c>
      <c r="Q75" s="2">
        <f t="shared" si="6"/>
        <v>0</v>
      </c>
      <c r="R75" s="2">
        <f t="shared" si="7"/>
        <v>0</v>
      </c>
      <c r="S75" s="2">
        <f t="shared" si="8"/>
        <v>0</v>
      </c>
      <c r="T75" s="2">
        <f t="shared" si="9"/>
        <v>0</v>
      </c>
      <c r="V75" s="8">
        <v>42.081270000000004</v>
      </c>
      <c r="W75">
        <f t="shared" si="10"/>
        <v>0</v>
      </c>
    </row>
    <row r="76" spans="2:23" x14ac:dyDescent="0.2">
      <c r="B76" s="1" t="s">
        <v>76</v>
      </c>
      <c r="C76" s="1" t="s">
        <v>58</v>
      </c>
      <c r="D76" s="2"/>
      <c r="E76" s="2"/>
      <c r="F76" s="10">
        <v>3.181209</v>
      </c>
      <c r="G76" s="7">
        <v>4486.4399999999996</v>
      </c>
      <c r="H76" s="7">
        <v>4284.8100000000004</v>
      </c>
      <c r="I76" s="10">
        <v>0.90300000000000002</v>
      </c>
      <c r="J76" s="2"/>
      <c r="K76" s="7">
        <f t="shared" si="0"/>
        <v>0</v>
      </c>
      <c r="L76" s="10">
        <f t="shared" si="1"/>
        <v>0</v>
      </c>
      <c r="M76" s="2">
        <f t="shared" si="2"/>
        <v>0</v>
      </c>
      <c r="N76" s="2">
        <f t="shared" si="3"/>
        <v>0</v>
      </c>
      <c r="O76" s="10">
        <f t="shared" si="11"/>
        <v>1</v>
      </c>
      <c r="P76" s="2">
        <f t="shared" si="5"/>
        <v>3.1740862730489998</v>
      </c>
      <c r="Q76" s="2">
        <f t="shared" si="6"/>
        <v>0</v>
      </c>
      <c r="R76" s="2">
        <f t="shared" si="7"/>
        <v>0</v>
      </c>
      <c r="S76" s="2">
        <f t="shared" si="8"/>
        <v>0</v>
      </c>
      <c r="T76" s="2">
        <f t="shared" si="9"/>
        <v>0</v>
      </c>
      <c r="V76" s="8">
        <v>92.141810000000007</v>
      </c>
      <c r="W76">
        <f t="shared" si="10"/>
        <v>0</v>
      </c>
    </row>
    <row r="77" spans="2:23" x14ac:dyDescent="0.2">
      <c r="B77" s="1" t="s">
        <v>59</v>
      </c>
      <c r="C77" s="1" t="s">
        <v>60</v>
      </c>
      <c r="D77" s="2"/>
      <c r="E77" s="2"/>
      <c r="F77" s="10">
        <v>0.62198200000000003</v>
      </c>
      <c r="G77" s="7">
        <v>0</v>
      </c>
      <c r="H77" s="7">
        <v>0</v>
      </c>
      <c r="I77" s="10">
        <v>0.99949900000000003</v>
      </c>
      <c r="J77" s="2"/>
      <c r="K77" s="7">
        <f t="shared" si="0"/>
        <v>0</v>
      </c>
      <c r="L77" s="10">
        <f t="shared" si="1"/>
        <v>0</v>
      </c>
      <c r="M77" s="2">
        <f t="shared" si="2"/>
        <v>0</v>
      </c>
      <c r="N77" s="2">
        <f t="shared" si="3"/>
        <v>0</v>
      </c>
      <c r="O77" s="10">
        <f t="shared" si="11"/>
        <v>1</v>
      </c>
      <c r="P77" s="2">
        <f t="shared" si="5"/>
        <v>0.620589382302</v>
      </c>
      <c r="Q77" s="2">
        <f t="shared" si="6"/>
        <v>0</v>
      </c>
      <c r="R77" s="2">
        <f t="shared" si="7"/>
        <v>0</v>
      </c>
      <c r="S77" s="2">
        <f t="shared" si="8"/>
        <v>0</v>
      </c>
      <c r="T77" s="2">
        <f t="shared" si="9"/>
        <v>0</v>
      </c>
      <c r="V77" s="8">
        <v>18.015339999999998</v>
      </c>
      <c r="W77">
        <f t="shared" si="10"/>
        <v>0</v>
      </c>
    </row>
  </sheetData>
  <phoneticPr fontId="0" type="noConversion"/>
  <printOptions horizontalCentered="1"/>
  <pageMargins left="0.5" right="0.5" top="1.25" bottom="0.5" header="0.5" footer="0.5"/>
  <pageSetup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6"/>
  <sheetViews>
    <sheetView topLeftCell="A10" workbookViewId="0">
      <selection activeCell="D38" sqref="D38"/>
    </sheetView>
  </sheetViews>
  <sheetFormatPr defaultRowHeight="12.75" x14ac:dyDescent="0.2"/>
  <cols>
    <col min="1" max="1" width="12.28515625" customWidth="1"/>
    <col min="2" max="2" width="10.7109375" style="13" customWidth="1"/>
    <col min="3" max="3" width="9.42578125" style="13" customWidth="1"/>
    <col min="4" max="4" width="8.42578125" style="13" customWidth="1"/>
    <col min="5" max="5" width="9.42578125" style="13" customWidth="1"/>
    <col min="6" max="6" width="21.85546875" customWidth="1"/>
    <col min="7" max="7" width="8.5703125" customWidth="1"/>
    <col min="8" max="8" width="7.7109375" style="13" customWidth="1"/>
    <col min="9" max="9" width="6.5703125" style="13" customWidth="1"/>
    <col min="10" max="10" width="6.85546875" style="13" customWidth="1"/>
    <col min="11" max="11" width="6.85546875" customWidth="1"/>
    <col min="13" max="13" width="7" customWidth="1"/>
    <col min="14" max="14" width="6.7109375" customWidth="1"/>
    <col min="15" max="15" width="2.5703125" customWidth="1"/>
    <col min="16" max="16" width="8.7109375" customWidth="1"/>
    <col min="18" max="18" width="2.140625" customWidth="1"/>
    <col min="19" max="19" width="6" customWidth="1"/>
    <col min="20" max="20" width="2.7109375" customWidth="1"/>
    <col min="21" max="21" width="8.42578125" customWidth="1"/>
    <col min="22" max="22" width="2.28515625" customWidth="1"/>
    <col min="23" max="23" width="6.140625" customWidth="1"/>
    <col min="24" max="24" width="7.42578125" customWidth="1"/>
    <col min="25" max="25" width="5" customWidth="1"/>
  </cols>
  <sheetData>
    <row r="3" spans="2:23" x14ac:dyDescent="0.2">
      <c r="L3" t="s">
        <v>131</v>
      </c>
    </row>
    <row r="4" spans="2:23" x14ac:dyDescent="0.2">
      <c r="L4" s="79" t="s">
        <v>106</v>
      </c>
      <c r="M4" s="79"/>
      <c r="N4" s="79"/>
      <c r="O4" s="79"/>
      <c r="P4" s="31">
        <v>79</v>
      </c>
      <c r="Q4" s="13" t="s">
        <v>49</v>
      </c>
    </row>
    <row r="5" spans="2:23" x14ac:dyDescent="0.2">
      <c r="P5" s="31">
        <v>21</v>
      </c>
      <c r="Q5" s="13" t="s">
        <v>51</v>
      </c>
    </row>
    <row r="8" spans="2:23" ht="38.25" x14ac:dyDescent="0.2">
      <c r="B8" s="21" t="s">
        <v>138</v>
      </c>
      <c r="C8" s="21" t="s">
        <v>137</v>
      </c>
      <c r="D8" s="18" t="s">
        <v>125</v>
      </c>
      <c r="E8" s="21" t="s">
        <v>134</v>
      </c>
      <c r="F8" s="19"/>
      <c r="G8" s="19"/>
      <c r="H8" s="18" t="s">
        <v>105</v>
      </c>
      <c r="I8" s="18" t="s">
        <v>104</v>
      </c>
      <c r="J8" s="18" t="s">
        <v>107</v>
      </c>
      <c r="K8" s="18" t="s">
        <v>133</v>
      </c>
    </row>
    <row r="9" spans="2:23" x14ac:dyDescent="0.2">
      <c r="B9" s="15">
        <f t="shared" ref="B9:B34" si="0">(C9*E9)/100</f>
        <v>0</v>
      </c>
      <c r="C9" s="15">
        <f>D9*$Q$24</f>
        <v>11.905000000000001</v>
      </c>
      <c r="D9" s="15">
        <f>ROUND((H9+(I9/4)),3)</f>
        <v>2.5</v>
      </c>
      <c r="E9" s="22">
        <f>'CALC-IGT-STD.XLS'!D7</f>
        <v>0</v>
      </c>
      <c r="F9" s="1" t="s">
        <v>8</v>
      </c>
      <c r="G9" s="1" t="s">
        <v>9</v>
      </c>
      <c r="H9" s="13">
        <v>2</v>
      </c>
      <c r="I9" s="13">
        <v>2</v>
      </c>
      <c r="L9" t="s">
        <v>108</v>
      </c>
      <c r="N9" s="13" t="s">
        <v>44</v>
      </c>
      <c r="O9" s="13" t="s">
        <v>111</v>
      </c>
      <c r="P9" s="13" t="s">
        <v>112</v>
      </c>
      <c r="Q9" s="13"/>
      <c r="R9" s="13"/>
      <c r="S9" s="13" t="s">
        <v>109</v>
      </c>
      <c r="T9" s="13" t="s">
        <v>111</v>
      </c>
      <c r="U9" s="13" t="s">
        <v>110</v>
      </c>
    </row>
    <row r="10" spans="2:23" x14ac:dyDescent="0.2">
      <c r="B10" s="15">
        <f t="shared" si="0"/>
        <v>0</v>
      </c>
      <c r="C10" s="15">
        <v>0</v>
      </c>
      <c r="D10" s="15"/>
      <c r="E10" s="22">
        <f>'CALC-IGT-STD.XLS'!D8</f>
        <v>80</v>
      </c>
      <c r="F10" s="1" t="s">
        <v>10</v>
      </c>
      <c r="G10" s="2"/>
    </row>
    <row r="11" spans="2:23" x14ac:dyDescent="0.2">
      <c r="B11" s="15">
        <f t="shared" si="0"/>
        <v>0</v>
      </c>
      <c r="C11" s="15">
        <v>0</v>
      </c>
      <c r="D11" s="15"/>
      <c r="E11" s="22">
        <f>'CALC-IGT-STD.XLS'!D9</f>
        <v>0</v>
      </c>
      <c r="F11" s="1" t="s">
        <v>11</v>
      </c>
      <c r="G11" s="1" t="s">
        <v>12</v>
      </c>
      <c r="H11" s="13">
        <v>0</v>
      </c>
      <c r="I11" s="13">
        <v>0</v>
      </c>
      <c r="L11" t="s">
        <v>132</v>
      </c>
    </row>
    <row r="12" spans="2:23" x14ac:dyDescent="0.2">
      <c r="B12" s="15">
        <f t="shared" si="0"/>
        <v>0</v>
      </c>
      <c r="C12" s="15">
        <f t="shared" ref="C12:C33" si="1">D12*$Q$24</f>
        <v>35.715000000000003</v>
      </c>
      <c r="D12" s="15">
        <f t="shared" ref="D12:D33" si="2">ROUND((H12+(I12/4)),3)</f>
        <v>7.5</v>
      </c>
      <c r="E12" s="22">
        <f>'CALC-IGT-STD.XLS'!D10</f>
        <v>0</v>
      </c>
      <c r="F12" s="1" t="s">
        <v>13</v>
      </c>
      <c r="G12" s="1" t="s">
        <v>14</v>
      </c>
      <c r="H12" s="13">
        <v>6</v>
      </c>
      <c r="I12" s="13">
        <v>6</v>
      </c>
    </row>
    <row r="13" spans="2:23" x14ac:dyDescent="0.2">
      <c r="B13" s="15">
        <f t="shared" si="0"/>
        <v>0</v>
      </c>
      <c r="C13" s="15">
        <f t="shared" si="1"/>
        <v>26.191000000000003</v>
      </c>
      <c r="D13" s="15">
        <f t="shared" si="2"/>
        <v>5.5</v>
      </c>
      <c r="E13" s="22">
        <f>'CALC-IGT-STD.XLS'!D11</f>
        <v>0</v>
      </c>
      <c r="F13" s="1" t="s">
        <v>17</v>
      </c>
      <c r="G13" s="1" t="s">
        <v>18</v>
      </c>
      <c r="H13" s="13">
        <v>4</v>
      </c>
      <c r="I13" s="13">
        <v>6</v>
      </c>
      <c r="N13" s="13" t="s">
        <v>113</v>
      </c>
      <c r="O13" s="13" t="s">
        <v>111</v>
      </c>
      <c r="P13" s="13" t="s">
        <v>114</v>
      </c>
      <c r="Q13" s="13"/>
      <c r="R13" s="13"/>
      <c r="S13" s="13" t="s">
        <v>115</v>
      </c>
      <c r="T13" s="13" t="s">
        <v>111</v>
      </c>
      <c r="U13" s="13" t="s">
        <v>116</v>
      </c>
      <c r="V13" s="13"/>
      <c r="W13" s="13"/>
    </row>
    <row r="14" spans="2:23" x14ac:dyDescent="0.2">
      <c r="B14" s="15">
        <f t="shared" si="0"/>
        <v>0</v>
      </c>
      <c r="C14" s="15">
        <v>0</v>
      </c>
      <c r="D14" s="15"/>
      <c r="E14" s="22">
        <f>'CALC-IGT-STD.XLS'!D12</f>
        <v>0</v>
      </c>
      <c r="F14" s="1" t="s">
        <v>20</v>
      </c>
      <c r="G14" s="1" t="s">
        <v>21</v>
      </c>
      <c r="H14" s="13">
        <v>1</v>
      </c>
      <c r="I14" s="13">
        <v>0</v>
      </c>
      <c r="J14" s="13">
        <v>2</v>
      </c>
    </row>
    <row r="15" spans="2:23" x14ac:dyDescent="0.2">
      <c r="B15" s="15">
        <f t="shared" si="0"/>
        <v>0</v>
      </c>
      <c r="C15" s="15">
        <v>2.3866000000000001</v>
      </c>
      <c r="D15" s="15"/>
      <c r="E15" s="22">
        <f>'CALC-IGT-STD.XLS'!D13</f>
        <v>0</v>
      </c>
      <c r="F15" s="1" t="s">
        <v>22</v>
      </c>
      <c r="G15" s="1" t="s">
        <v>23</v>
      </c>
      <c r="H15" s="13">
        <v>1</v>
      </c>
      <c r="I15" s="13">
        <v>0</v>
      </c>
      <c r="J15" s="13">
        <v>1</v>
      </c>
      <c r="L15" t="s">
        <v>117</v>
      </c>
    </row>
    <row r="16" spans="2:23" x14ac:dyDescent="0.2">
      <c r="B16" s="15">
        <f t="shared" si="0"/>
        <v>0</v>
      </c>
      <c r="C16" s="15">
        <f t="shared" si="1"/>
        <v>16.667000000000002</v>
      </c>
      <c r="D16" s="15">
        <f t="shared" si="2"/>
        <v>3.5</v>
      </c>
      <c r="E16" s="22">
        <f>'CALC-IGT-STD.XLS'!D14</f>
        <v>0</v>
      </c>
      <c r="F16" s="1" t="s">
        <v>25</v>
      </c>
      <c r="G16" s="1" t="s">
        <v>26</v>
      </c>
      <c r="H16" s="13">
        <v>2</v>
      </c>
      <c r="I16" s="13">
        <v>6</v>
      </c>
    </row>
    <row r="17" spans="2:26" x14ac:dyDescent="0.2">
      <c r="B17" s="15">
        <f t="shared" si="0"/>
        <v>2.8572000000000002</v>
      </c>
      <c r="C17" s="15">
        <f t="shared" si="1"/>
        <v>14.286000000000001</v>
      </c>
      <c r="D17" s="15">
        <f t="shared" si="2"/>
        <v>3</v>
      </c>
      <c r="E17" s="22">
        <f>'CALC-IGT-STD.XLS'!D15</f>
        <v>20</v>
      </c>
      <c r="F17" s="1" t="s">
        <v>27</v>
      </c>
      <c r="G17" s="1" t="s">
        <v>28</v>
      </c>
      <c r="H17" s="13">
        <v>2</v>
      </c>
      <c r="I17" s="13">
        <v>4</v>
      </c>
      <c r="L17" t="s">
        <v>118</v>
      </c>
      <c r="M17" t="s">
        <v>119</v>
      </c>
      <c r="N17" t="s">
        <v>120</v>
      </c>
      <c r="O17" t="s">
        <v>111</v>
      </c>
      <c r="P17" s="15">
        <f>ROUND(P4/P5,3)</f>
        <v>3.762</v>
      </c>
      <c r="Q17" t="s">
        <v>121</v>
      </c>
      <c r="S17" t="s">
        <v>122</v>
      </c>
      <c r="T17" s="13" t="s">
        <v>111</v>
      </c>
      <c r="U17" s="13" t="s">
        <v>116</v>
      </c>
      <c r="V17" s="13" t="s">
        <v>111</v>
      </c>
      <c r="W17" s="16">
        <f>ROUND(P4/P5,3)</f>
        <v>3.762</v>
      </c>
      <c r="X17" s="13" t="s">
        <v>119</v>
      </c>
      <c r="Y17" s="13" t="s">
        <v>49</v>
      </c>
    </row>
    <row r="18" spans="2:26" x14ac:dyDescent="0.2">
      <c r="B18" s="15">
        <f t="shared" si="0"/>
        <v>0</v>
      </c>
      <c r="C18" s="15">
        <v>0</v>
      </c>
      <c r="D18" s="15"/>
      <c r="E18" s="22">
        <f>'CALC-IGT-STD.XLS'!D16</f>
        <v>0</v>
      </c>
      <c r="F18" s="1" t="s">
        <v>30</v>
      </c>
      <c r="G18" s="1" t="s">
        <v>31</v>
      </c>
      <c r="H18" s="13">
        <v>0</v>
      </c>
      <c r="I18" s="13">
        <v>0</v>
      </c>
      <c r="J18" s="13">
        <v>0</v>
      </c>
    </row>
    <row r="19" spans="2:26" x14ac:dyDescent="0.2">
      <c r="B19" s="15">
        <f t="shared" si="0"/>
        <v>0</v>
      </c>
      <c r="C19" s="15">
        <f t="shared" si="1"/>
        <v>45.239000000000004</v>
      </c>
      <c r="D19" s="15">
        <f t="shared" si="2"/>
        <v>9.5</v>
      </c>
      <c r="E19" s="22">
        <f>'CALC-IGT-STD.XLS'!D17</f>
        <v>0</v>
      </c>
      <c r="F19" s="1" t="s">
        <v>33</v>
      </c>
      <c r="G19" s="1" t="s">
        <v>34</v>
      </c>
      <c r="H19" s="13">
        <v>6</v>
      </c>
      <c r="I19" s="13">
        <v>14</v>
      </c>
      <c r="L19" t="s">
        <v>127</v>
      </c>
    </row>
    <row r="20" spans="2:26" x14ac:dyDescent="0.2">
      <c r="B20" s="15">
        <f t="shared" si="0"/>
        <v>0</v>
      </c>
      <c r="C20" s="15">
        <v>2.3866000000000001</v>
      </c>
      <c r="D20" s="15"/>
      <c r="E20" s="22">
        <f>'CALC-IGT-STD.XLS'!D18</f>
        <v>0</v>
      </c>
      <c r="F20" s="1" t="s">
        <v>35</v>
      </c>
      <c r="G20" s="1" t="s">
        <v>36</v>
      </c>
      <c r="I20" s="13">
        <v>2</v>
      </c>
    </row>
    <row r="21" spans="2:26" x14ac:dyDescent="0.2">
      <c r="B21" s="15">
        <f t="shared" si="0"/>
        <v>0</v>
      </c>
      <c r="C21" s="15">
        <v>1.78</v>
      </c>
      <c r="D21" s="15"/>
      <c r="E21" s="22">
        <f>'CALC-IGT-STD.XLS'!D19</f>
        <v>0</v>
      </c>
      <c r="F21" s="1" t="s">
        <v>37</v>
      </c>
      <c r="G21" s="1" t="s">
        <v>38</v>
      </c>
      <c r="I21" s="13">
        <v>2</v>
      </c>
      <c r="K21">
        <v>1</v>
      </c>
      <c r="M21" s="13"/>
      <c r="N21" s="18" t="s">
        <v>125</v>
      </c>
      <c r="O21" s="19" t="s">
        <v>126</v>
      </c>
      <c r="P21" s="19" t="s">
        <v>119</v>
      </c>
      <c r="S21" t="s">
        <v>129</v>
      </c>
    </row>
    <row r="22" spans="2:26" x14ac:dyDescent="0.2">
      <c r="B22" s="15">
        <f t="shared" si="0"/>
        <v>0</v>
      </c>
      <c r="C22" s="15">
        <f t="shared" si="1"/>
        <v>30.953000000000003</v>
      </c>
      <c r="D22" s="15">
        <f t="shared" si="2"/>
        <v>6.5</v>
      </c>
      <c r="E22" s="22">
        <f>'CALC-IGT-STD.XLS'!D20</f>
        <v>0</v>
      </c>
      <c r="F22" s="1" t="s">
        <v>39</v>
      </c>
      <c r="G22" s="1" t="s">
        <v>40</v>
      </c>
      <c r="H22" s="13">
        <v>4</v>
      </c>
      <c r="I22" s="13">
        <v>10</v>
      </c>
    </row>
    <row r="23" spans="2:26" x14ac:dyDescent="0.2">
      <c r="B23" s="15">
        <f t="shared" si="0"/>
        <v>0</v>
      </c>
      <c r="C23" s="15">
        <f t="shared" si="1"/>
        <v>38.096000000000004</v>
      </c>
      <c r="D23" s="15">
        <f t="shared" si="2"/>
        <v>8</v>
      </c>
      <c r="E23" s="22">
        <f>'CALC-IGT-STD.XLS'!D21</f>
        <v>0</v>
      </c>
      <c r="F23" s="1" t="s">
        <v>41</v>
      </c>
      <c r="G23" s="1" t="s">
        <v>42</v>
      </c>
      <c r="H23" s="13">
        <v>5</v>
      </c>
      <c r="I23" s="13">
        <v>12</v>
      </c>
      <c r="L23" t="s">
        <v>128</v>
      </c>
    </row>
    <row r="24" spans="2:26" x14ac:dyDescent="0.2">
      <c r="B24" s="15">
        <f t="shared" si="0"/>
        <v>0</v>
      </c>
      <c r="C24" s="15">
        <f t="shared" si="1"/>
        <v>9.5240000000000009</v>
      </c>
      <c r="D24" s="15">
        <f t="shared" si="2"/>
        <v>2</v>
      </c>
      <c r="E24" s="22">
        <f>'CALC-IGT-STD.XLS'!D22</f>
        <v>0</v>
      </c>
      <c r="F24" s="1" t="s">
        <v>43</v>
      </c>
      <c r="G24" s="1" t="s">
        <v>44</v>
      </c>
      <c r="H24" s="13">
        <v>1</v>
      </c>
      <c r="I24" s="13">
        <v>4</v>
      </c>
      <c r="L24" s="17" t="s">
        <v>123</v>
      </c>
      <c r="M24" s="16">
        <f>ROUND(P4/P5,3)</f>
        <v>3.762</v>
      </c>
      <c r="N24" t="s">
        <v>124</v>
      </c>
      <c r="O24" t="s">
        <v>125</v>
      </c>
      <c r="P24" s="13" t="s">
        <v>126</v>
      </c>
      <c r="Q24" s="20">
        <f>M24+1</f>
        <v>4.7620000000000005</v>
      </c>
      <c r="R24" s="19" t="s">
        <v>125</v>
      </c>
    </row>
    <row r="25" spans="2:26" x14ac:dyDescent="0.2">
      <c r="B25" s="15">
        <f t="shared" si="0"/>
        <v>0</v>
      </c>
      <c r="C25" s="15">
        <f t="shared" si="1"/>
        <v>30.953000000000003</v>
      </c>
      <c r="D25" s="15">
        <f t="shared" si="2"/>
        <v>6.5</v>
      </c>
      <c r="E25" s="22">
        <f>'CALC-IGT-STD.XLS'!D23</f>
        <v>0</v>
      </c>
      <c r="F25" s="1" t="s">
        <v>45</v>
      </c>
      <c r="G25" s="1" t="s">
        <v>40</v>
      </c>
      <c r="H25" s="13">
        <v>4</v>
      </c>
      <c r="I25" s="13">
        <v>10</v>
      </c>
    </row>
    <row r="26" spans="2:26" x14ac:dyDescent="0.2">
      <c r="B26" s="15">
        <f t="shared" si="0"/>
        <v>0</v>
      </c>
      <c r="C26" s="15">
        <f t="shared" si="1"/>
        <v>38.096000000000004</v>
      </c>
      <c r="D26" s="15">
        <f t="shared" si="2"/>
        <v>8</v>
      </c>
      <c r="E26" s="22">
        <f>'CALC-IGT-STD.XLS'!D24</f>
        <v>0</v>
      </c>
      <c r="F26" s="1" t="s">
        <v>46</v>
      </c>
      <c r="G26" s="1" t="s">
        <v>42</v>
      </c>
      <c r="H26" s="13">
        <v>5</v>
      </c>
      <c r="I26" s="13">
        <v>12</v>
      </c>
      <c r="L26" s="30" t="s">
        <v>141</v>
      </c>
      <c r="N26" s="30"/>
      <c r="O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x14ac:dyDescent="0.2">
      <c r="B27" s="15">
        <f t="shared" si="0"/>
        <v>0</v>
      </c>
      <c r="C27" s="15">
        <f t="shared" si="1"/>
        <v>38.096000000000004</v>
      </c>
      <c r="D27" s="15">
        <f t="shared" si="2"/>
        <v>8</v>
      </c>
      <c r="E27" s="22">
        <f>'CALC-IGT-STD.XLS'!D25</f>
        <v>0</v>
      </c>
      <c r="F27" s="1" t="s">
        <v>47</v>
      </c>
      <c r="G27" s="1" t="s">
        <v>42</v>
      </c>
      <c r="H27" s="13">
        <v>5</v>
      </c>
      <c r="I27" s="13">
        <v>12</v>
      </c>
      <c r="L27" s="30" t="s">
        <v>136</v>
      </c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x14ac:dyDescent="0.2">
      <c r="B28" s="15">
        <f t="shared" si="0"/>
        <v>0</v>
      </c>
      <c r="C28" s="15">
        <v>0</v>
      </c>
      <c r="D28" s="15"/>
      <c r="E28" s="22">
        <f>'CALC-IGT-STD.XLS'!D26</f>
        <v>0</v>
      </c>
      <c r="F28" s="1" t="s">
        <v>48</v>
      </c>
      <c r="G28" s="1" t="s">
        <v>49</v>
      </c>
      <c r="L28" s="30"/>
      <c r="M28" s="30"/>
      <c r="N28" s="30"/>
      <c r="O28" s="30"/>
      <c r="P28" s="29"/>
      <c r="Q28" s="28"/>
      <c r="R28" s="30"/>
      <c r="S28" s="30"/>
      <c r="T28" s="30"/>
      <c r="U28" s="30"/>
      <c r="V28" s="30"/>
      <c r="W28" s="30"/>
      <c r="X28" s="30"/>
      <c r="Y28" s="30"/>
      <c r="Z28" s="30"/>
    </row>
    <row r="29" spans="2:26" x14ac:dyDescent="0.2">
      <c r="B29" s="15">
        <f t="shared" si="0"/>
        <v>0</v>
      </c>
      <c r="C29" s="15">
        <v>0</v>
      </c>
      <c r="D29" s="15"/>
      <c r="E29" s="22">
        <f>'CALC-IGT-STD.XLS'!D27</f>
        <v>0</v>
      </c>
      <c r="F29" s="1" t="s">
        <v>50</v>
      </c>
      <c r="G29" s="1" t="s">
        <v>51</v>
      </c>
      <c r="J29" s="13">
        <v>2</v>
      </c>
      <c r="L29" t="s">
        <v>135</v>
      </c>
      <c r="M29" s="32" t="s">
        <v>142</v>
      </c>
      <c r="N29" s="30"/>
      <c r="O29" s="30"/>
      <c r="P29" s="29"/>
      <c r="Q29" s="28"/>
      <c r="R29" s="30"/>
      <c r="S29" s="30"/>
      <c r="T29" s="30"/>
      <c r="U29" s="30"/>
      <c r="V29" s="30"/>
      <c r="W29" s="30"/>
      <c r="X29" s="30"/>
      <c r="Y29" s="30"/>
      <c r="Z29" s="30"/>
    </row>
    <row r="30" spans="2:26" x14ac:dyDescent="0.2">
      <c r="B30" s="15">
        <f t="shared" si="0"/>
        <v>0</v>
      </c>
      <c r="C30" s="15">
        <f t="shared" si="1"/>
        <v>35.715000000000003</v>
      </c>
      <c r="D30" s="15">
        <f t="shared" si="2"/>
        <v>7.5</v>
      </c>
      <c r="E30" s="22">
        <f>'CALC-IGT-STD.XLS'!D28</f>
        <v>0</v>
      </c>
      <c r="F30" s="1" t="s">
        <v>103</v>
      </c>
      <c r="G30" s="1" t="s">
        <v>52</v>
      </c>
      <c r="H30" s="13">
        <v>5</v>
      </c>
      <c r="I30" s="13">
        <v>10</v>
      </c>
      <c r="L30" s="30"/>
      <c r="M30" s="30" t="s">
        <v>143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x14ac:dyDescent="0.2">
      <c r="B31" s="15">
        <f t="shared" si="0"/>
        <v>0</v>
      </c>
      <c r="C31" s="15">
        <f t="shared" si="1"/>
        <v>23.810000000000002</v>
      </c>
      <c r="D31" s="15">
        <f t="shared" si="2"/>
        <v>5</v>
      </c>
      <c r="E31" s="22">
        <f>'CALC-IGT-STD.XLS'!D29</f>
        <v>0</v>
      </c>
      <c r="F31" s="1" t="s">
        <v>53</v>
      </c>
      <c r="G31" s="1" t="s">
        <v>54</v>
      </c>
      <c r="H31" s="13">
        <v>3</v>
      </c>
      <c r="I31" s="13">
        <v>8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x14ac:dyDescent="0.2">
      <c r="B32" s="15">
        <f t="shared" si="0"/>
        <v>0</v>
      </c>
      <c r="C32" s="15">
        <f t="shared" si="1"/>
        <v>21.429000000000002</v>
      </c>
      <c r="D32" s="15">
        <f t="shared" si="2"/>
        <v>4.5</v>
      </c>
      <c r="E32" s="22">
        <f>'CALC-IGT-STD.XLS'!D30</f>
        <v>0</v>
      </c>
      <c r="F32" s="1" t="s">
        <v>55</v>
      </c>
      <c r="G32" s="1" t="s">
        <v>56</v>
      </c>
      <c r="H32" s="13">
        <v>3</v>
      </c>
      <c r="I32" s="13">
        <v>6</v>
      </c>
      <c r="L32" s="30"/>
      <c r="M32" s="30"/>
      <c r="N32" s="30"/>
      <c r="O32" s="30"/>
      <c r="P32" s="29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x14ac:dyDescent="0.2">
      <c r="B33" s="15">
        <f t="shared" si="0"/>
        <v>0</v>
      </c>
      <c r="C33" s="15">
        <f t="shared" si="1"/>
        <v>42.858000000000004</v>
      </c>
      <c r="D33" s="15">
        <f t="shared" si="2"/>
        <v>9</v>
      </c>
      <c r="E33" s="22">
        <f>'CALC-IGT-STD.XLS'!D31</f>
        <v>0</v>
      </c>
      <c r="F33" s="1" t="s">
        <v>130</v>
      </c>
      <c r="G33" s="1" t="s">
        <v>58</v>
      </c>
      <c r="H33" s="13">
        <v>7</v>
      </c>
      <c r="I33" s="13">
        <v>8</v>
      </c>
      <c r="L33" s="30"/>
      <c r="M33" s="30"/>
      <c r="N33" s="30"/>
      <c r="O33" s="30"/>
      <c r="P33" s="29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3.5" thickBot="1" x14ac:dyDescent="0.25">
      <c r="B34" s="24">
        <f t="shared" si="0"/>
        <v>0</v>
      </c>
      <c r="C34" s="24"/>
      <c r="D34" s="24"/>
      <c r="E34" s="25">
        <f>'CALC-IGT-STD.XLS'!D32</f>
        <v>0</v>
      </c>
      <c r="F34" s="26" t="s">
        <v>59</v>
      </c>
      <c r="G34" s="26" t="s">
        <v>60</v>
      </c>
      <c r="H34" s="23"/>
      <c r="I34" s="23">
        <v>2</v>
      </c>
      <c r="J34" s="23">
        <v>1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x14ac:dyDescent="0.2">
      <c r="A35" s="19" t="s">
        <v>140</v>
      </c>
      <c r="B35" s="27">
        <f>SUM(B9:B34)</f>
        <v>2.8572000000000002</v>
      </c>
    </row>
    <row r="36" spans="1:26" x14ac:dyDescent="0.2">
      <c r="A36" s="19" t="s">
        <v>139</v>
      </c>
      <c r="B36" s="27">
        <f>B35/(('CALC-IGT-STD.XLS'!G10)^0.5)</f>
        <v>2.8653680409687774</v>
      </c>
    </row>
  </sheetData>
  <mergeCells count="1">
    <mergeCell ref="L4:O4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CALC-IGT-STD.XLS</vt:lpstr>
      <vt:lpstr>CARI Calcs</vt:lpstr>
      <vt:lpstr>\C</vt:lpstr>
      <vt:lpstr>\P</vt:lpstr>
      <vt:lpstr>\Q</vt:lpstr>
      <vt:lpstr>'CALC-IGT-STD.XLS'!Print_Area</vt:lpstr>
      <vt:lpstr>Print_Area</vt:lpstr>
      <vt:lpstr>PRINT_AREA_MI</vt:lpstr>
    </vt:vector>
  </TitlesOfParts>
  <Company>Cosa Instrument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Mueller</dc:creator>
  <cp:lastModifiedBy>O'Pry, Mark</cp:lastModifiedBy>
  <cp:lastPrinted>2006-09-11T13:58:37Z</cp:lastPrinted>
  <dcterms:created xsi:type="dcterms:W3CDTF">1999-01-08T17:23:22Z</dcterms:created>
  <dcterms:modified xsi:type="dcterms:W3CDTF">2014-02-21T13:11:53Z</dcterms:modified>
</cp:coreProperties>
</file>